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20" windowWidth="19320" windowHeight="14175" tabRatio="734" activeTab="1"/>
  </bookViews>
  <sheets>
    <sheet name="SAN Storage Inventory" sheetId="1" r:id="rId1"/>
    <sheet name="Sheet3" sheetId="55389" r:id="rId2"/>
    <sheet name="SAN Storage Capacity Summary" sheetId="55385" r:id="rId3"/>
    <sheet name="SAN Switch Inventory EMEA" sheetId="55387" r:id="rId4"/>
    <sheet name="SAN Switch Capacity Summary EME" sheetId="55388" r:id="rId5"/>
  </sheets>
  <externalReferences>
    <externalReference r:id="rId6"/>
  </externalReferences>
  <definedNames>
    <definedName name="_xlnm._FilterDatabase" localSheetId="0" hidden="1">'SAN Storage Inventory'!$O$2:$O$2</definedName>
    <definedName name="_xlnm.Print_Area" localSheetId="0">'SAN Storage Inventory'!$A$1:$O$376</definedName>
    <definedName name="_xlnm.Print_Area" localSheetId="3">'SAN Switch Inventory EMEA'!$B$1:$K$1</definedName>
    <definedName name="_xlnm.Print_Titles" localSheetId="0">'SAN Storage Inventory'!$1:$2</definedName>
    <definedName name="_xlnm.Print_Titles" localSheetId="3">'SAN Switch Inventory EMEA'!$1:$1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</workbook>
</file>

<file path=xl/calcChain.xml><?xml version="1.0" encoding="utf-8"?>
<calcChain xmlns="http://schemas.openxmlformats.org/spreadsheetml/2006/main">
  <c r="G33" i="55388" l="1"/>
  <c r="G32" i="55388"/>
  <c r="E33" i="55388"/>
  <c r="E32" i="55388"/>
  <c r="D33" i="55388"/>
  <c r="D32" i="55388"/>
  <c r="G30" i="55388"/>
  <c r="G29" i="55388"/>
  <c r="E30" i="55388"/>
  <c r="E29" i="55388"/>
  <c r="D30" i="55388"/>
  <c r="D29" i="55388"/>
  <c r="G27" i="55388"/>
  <c r="G26" i="55388"/>
  <c r="E27" i="55388"/>
  <c r="E26" i="55388"/>
  <c r="D27" i="55388"/>
  <c r="D26" i="55388"/>
  <c r="G24" i="55388"/>
  <c r="G23" i="55388"/>
  <c r="G22" i="55388"/>
  <c r="G21" i="55388"/>
  <c r="E24" i="55388"/>
  <c r="E23" i="55388"/>
  <c r="E22" i="55388"/>
  <c r="E21" i="55388"/>
  <c r="D24" i="55388"/>
  <c r="D23" i="55388"/>
  <c r="D22" i="55388"/>
  <c r="D21" i="55388"/>
  <c r="G19" i="55388"/>
  <c r="G18" i="55388"/>
  <c r="G17" i="55388"/>
  <c r="G16" i="55388"/>
  <c r="G15" i="55388"/>
  <c r="G14" i="55388"/>
  <c r="G13" i="55388"/>
  <c r="G11" i="55388"/>
  <c r="G10" i="55388"/>
  <c r="G9" i="55388"/>
  <c r="G8" i="55388"/>
  <c r="G7" i="55388"/>
  <c r="G6" i="55388"/>
  <c r="G5" i="55388"/>
  <c r="E19" i="55388"/>
  <c r="E18" i="55388"/>
  <c r="E17" i="55388"/>
  <c r="E16" i="55388"/>
  <c r="E15" i="55388"/>
  <c r="E14" i="55388"/>
  <c r="E13" i="55388"/>
  <c r="D19" i="55388"/>
  <c r="D18" i="55388"/>
  <c r="D17" i="55388"/>
  <c r="D16" i="55388"/>
  <c r="D15" i="55388"/>
  <c r="D14" i="55388"/>
  <c r="D13" i="55388"/>
  <c r="E11" i="55388"/>
  <c r="E10" i="55388"/>
  <c r="E9" i="55388"/>
  <c r="E8" i="55388"/>
  <c r="E7" i="55388"/>
  <c r="E6" i="55388"/>
  <c r="D11" i="55388"/>
  <c r="D10" i="55388"/>
  <c r="D9" i="55388"/>
  <c r="D8" i="55388"/>
  <c r="D7" i="55388"/>
  <c r="D6" i="55388"/>
  <c r="E5" i="55388"/>
  <c r="D5" i="55388"/>
  <c r="E28" i="55388" l="1"/>
  <c r="C27" i="55388"/>
  <c r="C26" i="55388"/>
  <c r="F26" i="55388"/>
  <c r="G28" i="55388"/>
  <c r="F27" i="55388"/>
  <c r="D28" i="55388"/>
  <c r="D25" i="55388"/>
  <c r="E25" i="55388"/>
  <c r="F25" i="55388" s="1"/>
  <c r="C11" i="55388"/>
  <c r="G12" i="55388"/>
  <c r="E12" i="55388"/>
  <c r="D12" i="55388"/>
  <c r="C10" i="55388"/>
  <c r="F10" i="55388"/>
  <c r="F11" i="55388"/>
  <c r="F28" i="55388" l="1"/>
  <c r="C28" i="55388"/>
  <c r="F12" i="55388"/>
  <c r="C8" i="55388" l="1"/>
  <c r="C6" i="55388"/>
  <c r="G25" i="55388" l="1"/>
  <c r="C33" i="55388"/>
  <c r="F13" i="55388"/>
  <c r="C16" i="55388"/>
  <c r="F17" i="55388"/>
  <c r="C21" i="55388"/>
  <c r="C19" i="55388"/>
  <c r="C7" i="55388"/>
  <c r="C14" i="55388"/>
  <c r="C18" i="55388"/>
  <c r="C23" i="55388"/>
  <c r="C30" i="55388"/>
  <c r="F22" i="55388"/>
  <c r="D31" i="55388"/>
  <c r="F8" i="55388"/>
  <c r="G20" i="55388"/>
  <c r="F23" i="55388"/>
  <c r="F30" i="55388"/>
  <c r="D34" i="55388"/>
  <c r="F6" i="55388"/>
  <c r="F15" i="55388"/>
  <c r="G31" i="55388"/>
  <c r="C32" i="55388"/>
  <c r="C9" i="55388"/>
  <c r="D20" i="55388"/>
  <c r="E20" i="55388"/>
  <c r="C24" i="55388"/>
  <c r="G34" i="55388"/>
  <c r="F7" i="55388"/>
  <c r="F9" i="55388"/>
  <c r="C13" i="55388"/>
  <c r="C15" i="55388"/>
  <c r="C17" i="55388"/>
  <c r="F21" i="55388"/>
  <c r="F24" i="55388"/>
  <c r="F14" i="55388"/>
  <c r="F16" i="55388"/>
  <c r="F18" i="55388"/>
  <c r="F19" i="55388"/>
  <c r="C22" i="55388"/>
  <c r="E31" i="55388"/>
  <c r="E34" i="55388"/>
  <c r="F32" i="55388"/>
  <c r="F29" i="55388"/>
  <c r="F33" i="55388"/>
  <c r="C29" i="55388"/>
  <c r="F20" i="55388" l="1"/>
  <c r="F31" i="55388"/>
  <c r="F34" i="55388"/>
  <c r="C25" i="55388"/>
  <c r="C31" i="55388"/>
  <c r="C34" i="55388"/>
  <c r="D35" i="55388"/>
  <c r="D4" i="55388"/>
  <c r="C20" i="55388"/>
  <c r="G35" i="55388"/>
  <c r="G4" i="55388"/>
  <c r="J90" i="55385" l="1" a="1"/>
  <c r="J90" i="55385" s="1"/>
  <c r="I90" i="55385" a="1"/>
  <c r="I90" i="55385" s="1"/>
  <c r="H90" i="55385" a="1"/>
  <c r="H90" i="55385" s="1"/>
  <c r="G90" i="55385" a="1"/>
  <c r="G90" i="55385" s="1"/>
  <c r="F90" i="55385" a="1"/>
  <c r="F90" i="55385" s="1"/>
  <c r="E90" i="55385" a="1"/>
  <c r="E90" i="55385" s="1"/>
  <c r="D90" i="55385" a="1"/>
  <c r="D90" i="55385" s="1"/>
  <c r="J89" i="55385" a="1"/>
  <c r="J89" i="55385" s="1"/>
  <c r="I89" i="55385" a="1"/>
  <c r="I89" i="55385" s="1"/>
  <c r="H89" i="55385" a="1"/>
  <c r="H89" i="55385" s="1"/>
  <c r="G89" i="55385" a="1"/>
  <c r="G89" i="55385" s="1"/>
  <c r="F89" i="55385" a="1"/>
  <c r="F89" i="55385" s="1"/>
  <c r="E89" i="55385" a="1"/>
  <c r="E89" i="55385" s="1"/>
  <c r="D89" i="55385" a="1"/>
  <c r="D89" i="55385" s="1"/>
  <c r="J88" i="55385" a="1"/>
  <c r="J88" i="55385" s="1"/>
  <c r="I88" i="55385" a="1"/>
  <c r="I88" i="55385" s="1"/>
  <c r="H88" i="55385" a="1"/>
  <c r="H88" i="55385" s="1"/>
  <c r="G88" i="55385" a="1"/>
  <c r="G88" i="55385" s="1"/>
  <c r="F88" i="55385" a="1"/>
  <c r="F88" i="55385" s="1"/>
  <c r="E88" i="55385" a="1"/>
  <c r="E88" i="55385" s="1"/>
  <c r="D88" i="55385" a="1"/>
  <c r="D88" i="55385" s="1"/>
  <c r="J87" i="55385" a="1"/>
  <c r="J87" i="55385" s="1"/>
  <c r="I87" i="55385" a="1"/>
  <c r="I87" i="55385" s="1"/>
  <c r="H87" i="55385" a="1"/>
  <c r="H87" i="55385" s="1"/>
  <c r="G87" i="55385" a="1"/>
  <c r="G87" i="55385" s="1"/>
  <c r="F87" i="55385" a="1"/>
  <c r="F87" i="55385" s="1"/>
  <c r="E87" i="55385" a="1"/>
  <c r="E87" i="55385" s="1"/>
  <c r="D87" i="55385" a="1"/>
  <c r="D87" i="55385" s="1"/>
  <c r="J67" i="55385" a="1"/>
  <c r="J67" i="55385" s="1"/>
  <c r="I67" i="55385" a="1"/>
  <c r="I67" i="55385" s="1"/>
  <c r="H67" i="55385" a="1"/>
  <c r="H67" i="55385" s="1"/>
  <c r="G67" i="55385" a="1"/>
  <c r="G67" i="55385" s="1"/>
  <c r="F67" i="55385" a="1"/>
  <c r="F67" i="55385" s="1"/>
  <c r="E67" i="55385" a="1"/>
  <c r="E67" i="55385" s="1"/>
  <c r="D67" i="55385" a="1"/>
  <c r="D67" i="55385" s="1"/>
  <c r="J66" i="55385" a="1"/>
  <c r="J66" i="55385" s="1"/>
  <c r="I66" i="55385" a="1"/>
  <c r="I66" i="55385" s="1"/>
  <c r="H66" i="55385" a="1"/>
  <c r="H66" i="55385" s="1"/>
  <c r="G66" i="55385" a="1"/>
  <c r="G66" i="55385" s="1"/>
  <c r="F66" i="55385" a="1"/>
  <c r="F66" i="55385" s="1"/>
  <c r="E66" i="55385" a="1"/>
  <c r="E66" i="55385" s="1"/>
  <c r="D66" i="55385" a="1"/>
  <c r="D66" i="55385" s="1"/>
  <c r="J65" i="55385" a="1"/>
  <c r="J65" i="55385" s="1"/>
  <c r="I65" i="55385" a="1"/>
  <c r="I65" i="55385" s="1"/>
  <c r="H65" i="55385" a="1"/>
  <c r="H65" i="55385" s="1"/>
  <c r="G65" i="55385" a="1"/>
  <c r="G65" i="55385" s="1"/>
  <c r="F65" i="55385" a="1"/>
  <c r="F65" i="55385" s="1"/>
  <c r="E65" i="55385" a="1"/>
  <c r="E65" i="55385" s="1"/>
  <c r="D65" i="55385" a="1"/>
  <c r="D65" i="55385" s="1"/>
  <c r="J64" i="55385" a="1"/>
  <c r="J64" i="55385" s="1"/>
  <c r="I64" i="55385" a="1"/>
  <c r="I64" i="55385" s="1"/>
  <c r="H64" i="55385" a="1"/>
  <c r="H64" i="55385" s="1"/>
  <c r="G64" i="55385" a="1"/>
  <c r="G64" i="55385" s="1"/>
  <c r="F64" i="55385" a="1"/>
  <c r="F64" i="55385" s="1"/>
  <c r="E64" i="55385" a="1"/>
  <c r="E64" i="55385" s="1"/>
  <c r="D64" i="55385" a="1"/>
  <c r="D64" i="55385" s="1"/>
  <c r="F91" i="55385" l="1"/>
  <c r="H91" i="55385"/>
  <c r="D91" i="55385"/>
  <c r="J91" i="55385"/>
  <c r="E91" i="55385"/>
  <c r="G91" i="55385"/>
  <c r="I91" i="55385"/>
  <c r="D68" i="55385"/>
  <c r="F68" i="55385"/>
  <c r="H68" i="55385"/>
  <c r="J68" i="55385"/>
  <c r="E68" i="55385"/>
  <c r="G68" i="55385"/>
  <c r="I68" i="55385"/>
  <c r="J105" i="55385" l="1" a="1"/>
  <c r="J105" i="55385" s="1"/>
  <c r="I105" i="55385" a="1"/>
  <c r="I105" i="55385" s="1"/>
  <c r="H105" i="55385" a="1"/>
  <c r="H105" i="55385" s="1"/>
  <c r="G105" i="55385" a="1"/>
  <c r="G105" i="55385" s="1"/>
  <c r="F105" i="55385" a="1"/>
  <c r="F105" i="55385" s="1"/>
  <c r="E105" i="55385" a="1"/>
  <c r="E105" i="55385" s="1"/>
  <c r="D105" i="55385" a="1"/>
  <c r="D105" i="55385" s="1"/>
  <c r="J104" i="55385" a="1"/>
  <c r="J104" i="55385" s="1"/>
  <c r="I104" i="55385" a="1"/>
  <c r="I104" i="55385" s="1"/>
  <c r="H104" i="55385" a="1"/>
  <c r="H104" i="55385" s="1"/>
  <c r="G104" i="55385" a="1"/>
  <c r="G104" i="55385" s="1"/>
  <c r="F104" i="55385" a="1"/>
  <c r="F104" i="55385" s="1"/>
  <c r="E104" i="55385" a="1"/>
  <c r="E104" i="55385" s="1"/>
  <c r="D104" i="55385" a="1"/>
  <c r="D104" i="55385" s="1"/>
  <c r="J103" i="55385" a="1"/>
  <c r="J103" i="55385" s="1"/>
  <c r="I103" i="55385" a="1"/>
  <c r="I103" i="55385" s="1"/>
  <c r="H103" i="55385" a="1"/>
  <c r="H103" i="55385" s="1"/>
  <c r="G103" i="55385" a="1"/>
  <c r="G103" i="55385" s="1"/>
  <c r="F103" i="55385" a="1"/>
  <c r="F103" i="55385" s="1"/>
  <c r="E103" i="55385" a="1"/>
  <c r="E103" i="55385" s="1"/>
  <c r="D103" i="55385" a="1"/>
  <c r="D103" i="55385" s="1"/>
  <c r="J102" i="55385" a="1"/>
  <c r="J102" i="55385" s="1"/>
  <c r="I102" i="55385" a="1"/>
  <c r="I102" i="55385" s="1"/>
  <c r="H102" i="55385" a="1"/>
  <c r="H102" i="55385" s="1"/>
  <c r="G102" i="55385" a="1"/>
  <c r="G102" i="55385" s="1"/>
  <c r="F102" i="55385" a="1"/>
  <c r="F102" i="55385" s="1"/>
  <c r="E102" i="55385" a="1"/>
  <c r="E102" i="55385" s="1"/>
  <c r="D102" i="55385" a="1"/>
  <c r="D102" i="55385" s="1"/>
  <c r="J100" i="55385" a="1"/>
  <c r="J100" i="55385" s="1"/>
  <c r="I100" i="55385" a="1"/>
  <c r="I100" i="55385" s="1"/>
  <c r="H100" i="55385" a="1"/>
  <c r="H100" i="55385" s="1"/>
  <c r="G100" i="55385" a="1"/>
  <c r="G100" i="55385" s="1"/>
  <c r="F100" i="55385" a="1"/>
  <c r="F100" i="55385" s="1"/>
  <c r="E100" i="55385" a="1"/>
  <c r="E100" i="55385" s="1"/>
  <c r="D100" i="55385" a="1"/>
  <c r="D100" i="55385" s="1"/>
  <c r="J99" i="55385" a="1"/>
  <c r="J99" i="55385" s="1"/>
  <c r="I99" i="55385" a="1"/>
  <c r="I99" i="55385" s="1"/>
  <c r="H99" i="55385" a="1"/>
  <c r="H99" i="55385" s="1"/>
  <c r="G99" i="55385" a="1"/>
  <c r="G99" i="55385" s="1"/>
  <c r="F99" i="55385" a="1"/>
  <c r="F99" i="55385" s="1"/>
  <c r="E99" i="55385" a="1"/>
  <c r="E99" i="55385" s="1"/>
  <c r="D99" i="55385" a="1"/>
  <c r="D99" i="55385" s="1"/>
  <c r="J98" i="55385" a="1"/>
  <c r="J98" i="55385" s="1"/>
  <c r="I98" i="55385" a="1"/>
  <c r="I98" i="55385" s="1"/>
  <c r="H98" i="55385" a="1"/>
  <c r="H98" i="55385" s="1"/>
  <c r="G98" i="55385" a="1"/>
  <c r="G98" i="55385" s="1"/>
  <c r="F98" i="55385" a="1"/>
  <c r="F98" i="55385" s="1"/>
  <c r="E98" i="55385" a="1"/>
  <c r="E98" i="55385" s="1"/>
  <c r="D98" i="55385" a="1"/>
  <c r="D98" i="55385" s="1"/>
  <c r="J97" i="55385" a="1"/>
  <c r="J97" i="55385" s="1"/>
  <c r="I97" i="55385" a="1"/>
  <c r="I97" i="55385" s="1"/>
  <c r="H97" i="55385" a="1"/>
  <c r="H97" i="55385" s="1"/>
  <c r="G97" i="55385" a="1"/>
  <c r="G97" i="55385" s="1"/>
  <c r="F97" i="55385" a="1"/>
  <c r="F97" i="55385" s="1"/>
  <c r="E97" i="55385" a="1"/>
  <c r="E97" i="55385" s="1"/>
  <c r="D97" i="55385" a="1"/>
  <c r="D97" i="55385" s="1"/>
  <c r="J72" i="55385" a="1"/>
  <c r="J72" i="55385" s="1"/>
  <c r="I72" i="55385" a="1"/>
  <c r="I72" i="55385" s="1"/>
  <c r="H72" i="55385" a="1"/>
  <c r="H72" i="55385" s="1"/>
  <c r="G72" i="55385" a="1"/>
  <c r="G72" i="55385" s="1"/>
  <c r="F72" i="55385" a="1"/>
  <c r="F72" i="55385" s="1"/>
  <c r="E72" i="55385" a="1"/>
  <c r="E72" i="55385" s="1"/>
  <c r="D72" i="55385" a="1"/>
  <c r="D72" i="55385" s="1"/>
  <c r="J71" i="55385" a="1"/>
  <c r="J71" i="55385" s="1"/>
  <c r="I71" i="55385" a="1"/>
  <c r="I71" i="55385" s="1"/>
  <c r="H71" i="55385" a="1"/>
  <c r="H71" i="55385" s="1"/>
  <c r="G71" i="55385" a="1"/>
  <c r="G71" i="55385" s="1"/>
  <c r="F71" i="55385" a="1"/>
  <c r="F71" i="55385" s="1"/>
  <c r="E71" i="55385" a="1"/>
  <c r="E71" i="55385" s="1"/>
  <c r="D71" i="55385" a="1"/>
  <c r="D71" i="55385" s="1"/>
  <c r="J70" i="55385" a="1"/>
  <c r="J70" i="55385" s="1"/>
  <c r="I70" i="55385" a="1"/>
  <c r="I70" i="55385" s="1"/>
  <c r="H70" i="55385" a="1"/>
  <c r="H70" i="55385" s="1"/>
  <c r="G70" i="55385" a="1"/>
  <c r="G70" i="55385" s="1"/>
  <c r="F70" i="55385" a="1"/>
  <c r="F70" i="55385" s="1"/>
  <c r="E70" i="55385" a="1"/>
  <c r="E70" i="55385" s="1"/>
  <c r="D70" i="55385" a="1"/>
  <c r="D70" i="55385" s="1"/>
  <c r="J69" i="55385" a="1"/>
  <c r="J69" i="55385" s="1"/>
  <c r="I69" i="55385" a="1"/>
  <c r="I69" i="55385" s="1"/>
  <c r="H69" i="55385" a="1"/>
  <c r="H69" i="55385" s="1"/>
  <c r="G69" i="55385" a="1"/>
  <c r="G69" i="55385" s="1"/>
  <c r="F69" i="55385" a="1"/>
  <c r="F69" i="55385" s="1"/>
  <c r="E69" i="55385" a="1"/>
  <c r="E69" i="55385" s="1"/>
  <c r="D69" i="55385" a="1"/>
  <c r="D69" i="55385" s="1"/>
  <c r="J42" i="55385" a="1"/>
  <c r="J42" i="55385" s="1"/>
  <c r="I42" i="55385" a="1"/>
  <c r="I42" i="55385" s="1"/>
  <c r="H42" i="55385" a="1"/>
  <c r="H42" i="55385" s="1"/>
  <c r="G42" i="55385" a="1"/>
  <c r="G42" i="55385" s="1"/>
  <c r="F42" i="55385" a="1"/>
  <c r="F42" i="55385" s="1"/>
  <c r="E42" i="55385" a="1"/>
  <c r="E42" i="55385" s="1"/>
  <c r="D42" i="55385" a="1"/>
  <c r="D42" i="55385" s="1"/>
  <c r="J41" i="55385" a="1"/>
  <c r="J41" i="55385" s="1"/>
  <c r="I41" i="55385" a="1"/>
  <c r="I41" i="55385" s="1"/>
  <c r="H41" i="55385" a="1"/>
  <c r="H41" i="55385" s="1"/>
  <c r="G41" i="55385" a="1"/>
  <c r="G41" i="55385" s="1"/>
  <c r="F41" i="55385" a="1"/>
  <c r="F41" i="55385" s="1"/>
  <c r="E41" i="55385" a="1"/>
  <c r="E41" i="55385" s="1"/>
  <c r="D41" i="55385" a="1"/>
  <c r="D41" i="55385" s="1"/>
  <c r="J40" i="55385" a="1"/>
  <c r="J40" i="55385" s="1"/>
  <c r="I40" i="55385" a="1"/>
  <c r="I40" i="55385" s="1"/>
  <c r="H40" i="55385" a="1"/>
  <c r="H40" i="55385" s="1"/>
  <c r="G40" i="55385" a="1"/>
  <c r="G40" i="55385" s="1"/>
  <c r="F40" i="55385" a="1"/>
  <c r="F40" i="55385" s="1"/>
  <c r="E40" i="55385" a="1"/>
  <c r="E40" i="55385" s="1"/>
  <c r="D40" i="55385" a="1"/>
  <c r="D40" i="55385" s="1"/>
  <c r="J39" i="55385" a="1"/>
  <c r="J39" i="55385" s="1"/>
  <c r="I39" i="55385" a="1"/>
  <c r="I39" i="55385" s="1"/>
  <c r="H39" i="55385" a="1"/>
  <c r="H39" i="55385" s="1"/>
  <c r="G39" i="55385" a="1"/>
  <c r="G39" i="55385" s="1"/>
  <c r="F39" i="55385" a="1"/>
  <c r="F39" i="55385" s="1"/>
  <c r="E39" i="55385" a="1"/>
  <c r="E39" i="55385" s="1"/>
  <c r="D39" i="55385"/>
  <c r="J110" i="55385" a="1"/>
  <c r="J110" i="55385" s="1"/>
  <c r="I110" i="55385" a="1"/>
  <c r="I110" i="55385" s="1"/>
  <c r="H110" i="55385" a="1"/>
  <c r="H110" i="55385" s="1"/>
  <c r="G110" i="55385" a="1"/>
  <c r="G110" i="55385" s="1"/>
  <c r="F110" i="55385" a="1"/>
  <c r="F110" i="55385" s="1"/>
  <c r="E110" i="55385" a="1"/>
  <c r="E110" i="55385" s="1"/>
  <c r="D110" i="55385" a="1"/>
  <c r="D110" i="55385" s="1"/>
  <c r="J109" i="55385" a="1"/>
  <c r="J109" i="55385" s="1"/>
  <c r="I109" i="55385" a="1"/>
  <c r="I109" i="55385" s="1"/>
  <c r="H109" i="55385" a="1"/>
  <c r="H109" i="55385" s="1"/>
  <c r="G109" i="55385" a="1"/>
  <c r="G109" i="55385" s="1"/>
  <c r="F109" i="55385" a="1"/>
  <c r="F109" i="55385" s="1"/>
  <c r="E109" i="55385" a="1"/>
  <c r="E109" i="55385" s="1"/>
  <c r="D109" i="55385" a="1"/>
  <c r="D109" i="55385" s="1"/>
  <c r="J108" i="55385" a="1"/>
  <c r="J108" i="55385" s="1"/>
  <c r="I108" i="55385" a="1"/>
  <c r="I108" i="55385" s="1"/>
  <c r="H108" i="55385" a="1"/>
  <c r="H108" i="55385" s="1"/>
  <c r="G108" i="55385" a="1"/>
  <c r="G108" i="55385" s="1"/>
  <c r="F108" i="55385" a="1"/>
  <c r="F108" i="55385" s="1"/>
  <c r="E108" i="55385" a="1"/>
  <c r="E108" i="55385" s="1"/>
  <c r="D108" i="55385" a="1"/>
  <c r="D108" i="55385" s="1"/>
  <c r="J107" i="55385" a="1"/>
  <c r="J107" i="55385" s="1"/>
  <c r="I107" i="55385" a="1"/>
  <c r="I107" i="55385" s="1"/>
  <c r="H107" i="55385" a="1"/>
  <c r="H107" i="55385" s="1"/>
  <c r="G107" i="55385" a="1"/>
  <c r="G107" i="55385" s="1"/>
  <c r="F107" i="55385" a="1"/>
  <c r="F107" i="55385" s="1"/>
  <c r="E107" i="55385" a="1"/>
  <c r="E107" i="55385" s="1"/>
  <c r="D107" i="55385" a="1"/>
  <c r="D107" i="55385" s="1"/>
  <c r="J95" i="55385" a="1"/>
  <c r="J95" i="55385" s="1"/>
  <c r="I95" i="55385" a="1"/>
  <c r="I95" i="55385" s="1"/>
  <c r="H95" i="55385" a="1"/>
  <c r="H95" i="55385" s="1"/>
  <c r="G95" i="55385" a="1"/>
  <c r="G95" i="55385" s="1"/>
  <c r="F95" i="55385" a="1"/>
  <c r="F95" i="55385" s="1"/>
  <c r="E95" i="55385" a="1"/>
  <c r="E95" i="55385" s="1"/>
  <c r="D95" i="55385" a="1"/>
  <c r="D95" i="55385" s="1"/>
  <c r="J94" i="55385" a="1"/>
  <c r="J94" i="55385" s="1"/>
  <c r="I94" i="55385" a="1"/>
  <c r="I94" i="55385" s="1"/>
  <c r="H94" i="55385" a="1"/>
  <c r="H94" i="55385" s="1"/>
  <c r="G94" i="55385" a="1"/>
  <c r="G94" i="55385" s="1"/>
  <c r="F94" i="55385" a="1"/>
  <c r="F94" i="55385" s="1"/>
  <c r="E94" i="55385" a="1"/>
  <c r="E94" i="55385" s="1"/>
  <c r="D94" i="55385" a="1"/>
  <c r="D94" i="55385" s="1"/>
  <c r="J93" i="55385" a="1"/>
  <c r="J93" i="55385" s="1"/>
  <c r="I93" i="55385" a="1"/>
  <c r="I93" i="55385" s="1"/>
  <c r="H93" i="55385" a="1"/>
  <c r="H93" i="55385" s="1"/>
  <c r="G93" i="55385" a="1"/>
  <c r="G93" i="55385" s="1"/>
  <c r="F93" i="55385" a="1"/>
  <c r="F93" i="55385" s="1"/>
  <c r="E93" i="55385" a="1"/>
  <c r="E93" i="55385" s="1"/>
  <c r="D93" i="55385" a="1"/>
  <c r="D93" i="55385" s="1"/>
  <c r="J92" i="55385" a="1"/>
  <c r="J92" i="55385" s="1"/>
  <c r="I92" i="55385" a="1"/>
  <c r="I92" i="55385" s="1"/>
  <c r="H92" i="55385" a="1"/>
  <c r="H92" i="55385" s="1"/>
  <c r="G92" i="55385" a="1"/>
  <c r="G92" i="55385" s="1"/>
  <c r="F92" i="55385" a="1"/>
  <c r="F92" i="55385" s="1"/>
  <c r="E92" i="55385" a="1"/>
  <c r="E92" i="55385" s="1"/>
  <c r="D92" i="55385" a="1"/>
  <c r="D92" i="55385" s="1"/>
  <c r="J85" i="55385" a="1"/>
  <c r="J85" i="55385" s="1"/>
  <c r="I85" i="55385" a="1"/>
  <c r="I85" i="55385" s="1"/>
  <c r="H85" i="55385" a="1"/>
  <c r="H85" i="55385" s="1"/>
  <c r="G85" i="55385" a="1"/>
  <c r="G85" i="55385" s="1"/>
  <c r="F85" i="55385" a="1"/>
  <c r="F85" i="55385" s="1"/>
  <c r="E85" i="55385" a="1"/>
  <c r="E85" i="55385" s="1"/>
  <c r="D85" i="55385" a="1"/>
  <c r="D85" i="55385" s="1"/>
  <c r="J84" i="55385" a="1"/>
  <c r="J84" i="55385" s="1"/>
  <c r="I84" i="55385" a="1"/>
  <c r="I84" i="55385" s="1"/>
  <c r="H84" i="55385" a="1"/>
  <c r="H84" i="55385" s="1"/>
  <c r="G84" i="55385" a="1"/>
  <c r="G84" i="55385" s="1"/>
  <c r="F84" i="55385" a="1"/>
  <c r="F84" i="55385" s="1"/>
  <c r="E84" i="55385" a="1"/>
  <c r="E84" i="55385" s="1"/>
  <c r="D84" i="55385" a="1"/>
  <c r="D84" i="55385" s="1"/>
  <c r="J83" i="55385" a="1"/>
  <c r="J83" i="55385" s="1"/>
  <c r="I83" i="55385" a="1"/>
  <c r="I83" i="55385" s="1"/>
  <c r="H83" i="55385" a="1"/>
  <c r="H83" i="55385" s="1"/>
  <c r="G83" i="55385" a="1"/>
  <c r="G83" i="55385" s="1"/>
  <c r="F83" i="55385" a="1"/>
  <c r="F83" i="55385" s="1"/>
  <c r="E83" i="55385" a="1"/>
  <c r="E83" i="55385" s="1"/>
  <c r="D83" i="55385" a="1"/>
  <c r="D83" i="55385" s="1"/>
  <c r="J82" i="55385" a="1"/>
  <c r="J82" i="55385" s="1"/>
  <c r="I82" i="55385" a="1"/>
  <c r="I82" i="55385" s="1"/>
  <c r="H82" i="55385" a="1"/>
  <c r="H82" i="55385" s="1"/>
  <c r="G82" i="55385" a="1"/>
  <c r="G82" i="55385" s="1"/>
  <c r="F82" i="55385" a="1"/>
  <c r="F82" i="55385" s="1"/>
  <c r="E82" i="55385" a="1"/>
  <c r="E82" i="55385" s="1"/>
  <c r="D82" i="55385" a="1"/>
  <c r="D82" i="55385" s="1"/>
  <c r="J80" i="55385" a="1"/>
  <c r="J80" i="55385" s="1"/>
  <c r="I80" i="55385" a="1"/>
  <c r="I80" i="55385" s="1"/>
  <c r="H80" i="55385" a="1"/>
  <c r="H80" i="55385" s="1"/>
  <c r="G80" i="55385" a="1"/>
  <c r="G80" i="55385" s="1"/>
  <c r="F80" i="55385" a="1"/>
  <c r="F80" i="55385" s="1"/>
  <c r="E80" i="55385" a="1"/>
  <c r="E80" i="55385" s="1"/>
  <c r="D80" i="55385" a="1"/>
  <c r="D80" i="55385" s="1"/>
  <c r="J79" i="55385" a="1"/>
  <c r="J79" i="55385" s="1"/>
  <c r="I79" i="55385" a="1"/>
  <c r="I79" i="55385" s="1"/>
  <c r="H79" i="55385" a="1"/>
  <c r="H79" i="55385" s="1"/>
  <c r="G79" i="55385" a="1"/>
  <c r="G79" i="55385" s="1"/>
  <c r="F79" i="55385" a="1"/>
  <c r="F79" i="55385" s="1"/>
  <c r="E79" i="55385" a="1"/>
  <c r="E79" i="55385" s="1"/>
  <c r="D79" i="55385" a="1"/>
  <c r="D79" i="55385" s="1"/>
  <c r="J78" i="55385" a="1"/>
  <c r="J78" i="55385" s="1"/>
  <c r="I78" i="55385" a="1"/>
  <c r="I78" i="55385" s="1"/>
  <c r="H78" i="55385" a="1"/>
  <c r="H78" i="55385" s="1"/>
  <c r="G78" i="55385" a="1"/>
  <c r="G78" i="55385" s="1"/>
  <c r="F78" i="55385" a="1"/>
  <c r="F78" i="55385" s="1"/>
  <c r="E78" i="55385" a="1"/>
  <c r="E78" i="55385" s="1"/>
  <c r="D78" i="55385" a="1"/>
  <c r="D78" i="55385" s="1"/>
  <c r="J77" i="55385" a="1"/>
  <c r="J77" i="55385" s="1"/>
  <c r="I77" i="55385" a="1"/>
  <c r="I77" i="55385" s="1"/>
  <c r="H77" i="55385" a="1"/>
  <c r="H77" i="55385" s="1"/>
  <c r="G77" i="55385" a="1"/>
  <c r="G77" i="55385" s="1"/>
  <c r="F77" i="55385" a="1"/>
  <c r="F77" i="55385" s="1"/>
  <c r="E77" i="55385" a="1"/>
  <c r="E77" i="55385" s="1"/>
  <c r="D77" i="55385" a="1"/>
  <c r="D77" i="55385" s="1"/>
  <c r="J62" i="55385" a="1"/>
  <c r="J62" i="55385" s="1"/>
  <c r="I62" i="55385" a="1"/>
  <c r="I62" i="55385" s="1"/>
  <c r="H62" i="55385" a="1"/>
  <c r="H62" i="55385" s="1"/>
  <c r="G62" i="55385" a="1"/>
  <c r="G62" i="55385" s="1"/>
  <c r="F62" i="55385" a="1"/>
  <c r="F62" i="55385" s="1"/>
  <c r="E62" i="55385" a="1"/>
  <c r="E62" i="55385" s="1"/>
  <c r="D62" i="55385" a="1"/>
  <c r="D62" i="55385" s="1"/>
  <c r="J61" i="55385" a="1"/>
  <c r="J61" i="55385" s="1"/>
  <c r="I61" i="55385" a="1"/>
  <c r="I61" i="55385" s="1"/>
  <c r="H61" i="55385" a="1"/>
  <c r="H61" i="55385" s="1"/>
  <c r="G61" i="55385" a="1"/>
  <c r="G61" i="55385" s="1"/>
  <c r="F61" i="55385" a="1"/>
  <c r="F61" i="55385" s="1"/>
  <c r="E61" i="55385" a="1"/>
  <c r="E61" i="55385" s="1"/>
  <c r="D61" i="55385" a="1"/>
  <c r="D61" i="55385" s="1"/>
  <c r="J60" i="55385" a="1"/>
  <c r="J60" i="55385" s="1"/>
  <c r="I60" i="55385" a="1"/>
  <c r="I60" i="55385" s="1"/>
  <c r="H60" i="55385" a="1"/>
  <c r="H60" i="55385" s="1"/>
  <c r="G60" i="55385" a="1"/>
  <c r="G60" i="55385" s="1"/>
  <c r="F60" i="55385" a="1"/>
  <c r="F60" i="55385" s="1"/>
  <c r="E60" i="55385" a="1"/>
  <c r="E60" i="55385" s="1"/>
  <c r="D60" i="55385" a="1"/>
  <c r="D60" i="55385" s="1"/>
  <c r="J59" i="55385" a="1"/>
  <c r="J59" i="55385" s="1"/>
  <c r="I59" i="55385" a="1"/>
  <c r="I59" i="55385" s="1"/>
  <c r="H59" i="55385" a="1"/>
  <c r="H59" i="55385" s="1"/>
  <c r="G59" i="55385" a="1"/>
  <c r="G59" i="55385" s="1"/>
  <c r="F59" i="55385" a="1"/>
  <c r="F59" i="55385" s="1"/>
  <c r="E59" i="55385" a="1"/>
  <c r="E59" i="55385" s="1"/>
  <c r="D59" i="55385" a="1"/>
  <c r="D59" i="55385" s="1"/>
  <c r="J57" i="55385" a="1"/>
  <c r="J57" i="55385" s="1"/>
  <c r="I57" i="55385" a="1"/>
  <c r="I57" i="55385" s="1"/>
  <c r="H57" i="55385" a="1"/>
  <c r="H57" i="55385" s="1"/>
  <c r="G57" i="55385" a="1"/>
  <c r="G57" i="55385" s="1"/>
  <c r="F57" i="55385" a="1"/>
  <c r="F57" i="55385" s="1"/>
  <c r="E57" i="55385" a="1"/>
  <c r="E57" i="55385" s="1"/>
  <c r="D57" i="55385" a="1"/>
  <c r="D57" i="55385" s="1"/>
  <c r="J56" i="55385" a="1"/>
  <c r="J56" i="55385" s="1"/>
  <c r="I56" i="55385" a="1"/>
  <c r="I56" i="55385" s="1"/>
  <c r="H56" i="55385" a="1"/>
  <c r="H56" i="55385" s="1"/>
  <c r="G56" i="55385" a="1"/>
  <c r="G56" i="55385" s="1"/>
  <c r="F56" i="55385" a="1"/>
  <c r="F56" i="55385" s="1"/>
  <c r="E56" i="55385" a="1"/>
  <c r="E56" i="55385" s="1"/>
  <c r="D56" i="55385" a="1"/>
  <c r="D56" i="55385" s="1"/>
  <c r="J55" i="55385" a="1"/>
  <c r="J55" i="55385" s="1"/>
  <c r="I55" i="55385" a="1"/>
  <c r="I55" i="55385" s="1"/>
  <c r="H55" i="55385" a="1"/>
  <c r="H55" i="55385" s="1"/>
  <c r="G55" i="55385" a="1"/>
  <c r="G55" i="55385" s="1"/>
  <c r="F55" i="55385" a="1"/>
  <c r="F55" i="55385" s="1"/>
  <c r="E55" i="55385" a="1"/>
  <c r="E55" i="55385" s="1"/>
  <c r="D55" i="55385" a="1"/>
  <c r="D55" i="55385" s="1"/>
  <c r="J54" i="55385" a="1"/>
  <c r="J54" i="55385" s="1"/>
  <c r="I54" i="55385" a="1"/>
  <c r="I54" i="55385" s="1"/>
  <c r="H54" i="55385" a="1"/>
  <c r="H54" i="55385" s="1"/>
  <c r="G54" i="55385" a="1"/>
  <c r="G54" i="55385" s="1"/>
  <c r="F54" i="55385" a="1"/>
  <c r="F54" i="55385" s="1"/>
  <c r="E54" i="55385" a="1"/>
  <c r="E54" i="55385" s="1"/>
  <c r="D54" i="55385" a="1"/>
  <c r="D54" i="55385" s="1"/>
  <c r="J52" i="55385" a="1"/>
  <c r="J52" i="55385" s="1"/>
  <c r="I52" i="55385" a="1"/>
  <c r="I52" i="55385" s="1"/>
  <c r="H52" i="55385" a="1"/>
  <c r="H52" i="55385" s="1"/>
  <c r="G52" i="55385" a="1"/>
  <c r="G52" i="55385" s="1"/>
  <c r="F52" i="55385" a="1"/>
  <c r="F52" i="55385" s="1"/>
  <c r="E52" i="55385" a="1"/>
  <c r="E52" i="55385" s="1"/>
  <c r="D52" i="55385" a="1"/>
  <c r="D52" i="55385" s="1"/>
  <c r="J51" i="55385" a="1"/>
  <c r="J51" i="55385" s="1"/>
  <c r="I51" i="55385" a="1"/>
  <c r="I51" i="55385" s="1"/>
  <c r="H51" i="55385" a="1"/>
  <c r="H51" i="55385" s="1"/>
  <c r="G51" i="55385" a="1"/>
  <c r="G51" i="55385" s="1"/>
  <c r="F51" i="55385" a="1"/>
  <c r="F51" i="55385" s="1"/>
  <c r="E51" i="55385" a="1"/>
  <c r="E51" i="55385" s="1"/>
  <c r="D51" i="55385" a="1"/>
  <c r="D51" i="55385" s="1"/>
  <c r="J50" i="55385" a="1"/>
  <c r="J50" i="55385" s="1"/>
  <c r="I50" i="55385" a="1"/>
  <c r="I50" i="55385" s="1"/>
  <c r="H50" i="55385" a="1"/>
  <c r="H50" i="55385" s="1"/>
  <c r="G50" i="55385" a="1"/>
  <c r="G50" i="55385" s="1"/>
  <c r="F50" i="55385" a="1"/>
  <c r="F50" i="55385" s="1"/>
  <c r="E50" i="55385" a="1"/>
  <c r="E50" i="55385" s="1"/>
  <c r="D50" i="55385" a="1"/>
  <c r="D50" i="55385" s="1"/>
  <c r="J49" i="55385" a="1"/>
  <c r="J49" i="55385" s="1"/>
  <c r="I49" i="55385" a="1"/>
  <c r="I49" i="55385" s="1"/>
  <c r="H49" i="55385" a="1"/>
  <c r="H49" i="55385" s="1"/>
  <c r="G49" i="55385" a="1"/>
  <c r="G49" i="55385" s="1"/>
  <c r="F49" i="55385" a="1"/>
  <c r="F49" i="55385" s="1"/>
  <c r="E49" i="55385" a="1"/>
  <c r="E49" i="55385" s="1"/>
  <c r="D49" i="55385" a="1"/>
  <c r="D49" i="55385" s="1"/>
  <c r="J47" i="55385" a="1"/>
  <c r="J47" i="55385" s="1"/>
  <c r="I47" i="55385" a="1"/>
  <c r="I47" i="55385" s="1"/>
  <c r="H47" i="55385" a="1"/>
  <c r="H47" i="55385" s="1"/>
  <c r="G47" i="55385" a="1"/>
  <c r="G47" i="55385" s="1"/>
  <c r="F47" i="55385" a="1"/>
  <c r="F47" i="55385" s="1"/>
  <c r="E47" i="55385" a="1"/>
  <c r="E47" i="55385" s="1"/>
  <c r="D47" i="55385" a="1"/>
  <c r="D47" i="55385" s="1"/>
  <c r="J46" i="55385" a="1"/>
  <c r="J46" i="55385" s="1"/>
  <c r="I46" i="55385" a="1"/>
  <c r="I46" i="55385" s="1"/>
  <c r="H46" i="55385" a="1"/>
  <c r="H46" i="55385" s="1"/>
  <c r="G46" i="55385" a="1"/>
  <c r="G46" i="55385" s="1"/>
  <c r="F46" i="55385" a="1"/>
  <c r="F46" i="55385" s="1"/>
  <c r="E46" i="55385" a="1"/>
  <c r="E46" i="55385" s="1"/>
  <c r="D46" i="55385" a="1"/>
  <c r="D46" i="55385" s="1"/>
  <c r="J45" i="55385" a="1"/>
  <c r="J45" i="55385" s="1"/>
  <c r="I45" i="55385" a="1"/>
  <c r="I45" i="55385" s="1"/>
  <c r="H45" i="55385" a="1"/>
  <c r="H45" i="55385" s="1"/>
  <c r="G45" i="55385" a="1"/>
  <c r="G45" i="55385" s="1"/>
  <c r="F45" i="55385" a="1"/>
  <c r="F45" i="55385" s="1"/>
  <c r="E45" i="55385" a="1"/>
  <c r="E45" i="55385" s="1"/>
  <c r="D45" i="55385" a="1"/>
  <c r="D45" i="55385" s="1"/>
  <c r="J44" i="55385" a="1"/>
  <c r="J44" i="55385" s="1"/>
  <c r="I44" i="55385" a="1"/>
  <c r="I44" i="55385" s="1"/>
  <c r="H44" i="55385" a="1"/>
  <c r="H44" i="55385" s="1"/>
  <c r="G44" i="55385" a="1"/>
  <c r="G44" i="55385" s="1"/>
  <c r="F44" i="55385" a="1"/>
  <c r="F44" i="55385" s="1"/>
  <c r="E44" i="55385" a="1"/>
  <c r="E44" i="55385" s="1"/>
  <c r="D44" i="55385" a="1"/>
  <c r="D44" i="55385" s="1"/>
  <c r="J34" i="55385" a="1"/>
  <c r="J34" i="55385" s="1"/>
  <c r="I34" i="55385" a="1"/>
  <c r="I34" i="55385" s="1"/>
  <c r="H34" i="55385" a="1"/>
  <c r="H34" i="55385" s="1"/>
  <c r="G34" i="55385" a="1"/>
  <c r="G34" i="55385" s="1"/>
  <c r="F34" i="55385" a="1"/>
  <c r="F34" i="55385" s="1"/>
  <c r="E34" i="55385" a="1"/>
  <c r="E34" i="55385" s="1"/>
  <c r="D34" i="55385" a="1"/>
  <c r="D34" i="55385" s="1"/>
  <c r="J33" i="55385" a="1"/>
  <c r="J33" i="55385" s="1"/>
  <c r="I33" i="55385" a="1"/>
  <c r="I33" i="55385" s="1"/>
  <c r="H33" i="55385" a="1"/>
  <c r="H33" i="55385" s="1"/>
  <c r="G33" i="55385" a="1"/>
  <c r="G33" i="55385" s="1"/>
  <c r="F33" i="55385" a="1"/>
  <c r="F33" i="55385" s="1"/>
  <c r="E33" i="55385" a="1"/>
  <c r="E33" i="55385" s="1"/>
  <c r="D33" i="55385" a="1"/>
  <c r="D33" i="55385" s="1"/>
  <c r="J32" i="55385" a="1"/>
  <c r="J32" i="55385" s="1"/>
  <c r="I32" i="55385" a="1"/>
  <c r="I32" i="55385" s="1"/>
  <c r="H32" i="55385" a="1"/>
  <c r="H32" i="55385" s="1"/>
  <c r="G32" i="55385" a="1"/>
  <c r="G32" i="55385" s="1"/>
  <c r="F32" i="55385" a="1"/>
  <c r="F32" i="55385" s="1"/>
  <c r="E32" i="55385" a="1"/>
  <c r="E32" i="55385" s="1"/>
  <c r="D32" i="55385" a="1"/>
  <c r="D32" i="55385" s="1"/>
  <c r="J31" i="55385" a="1"/>
  <c r="J31" i="55385" s="1"/>
  <c r="I31" i="55385" a="1"/>
  <c r="I31" i="55385" s="1"/>
  <c r="H31" i="55385" a="1"/>
  <c r="H31" i="55385" s="1"/>
  <c r="G31" i="55385" a="1"/>
  <c r="G31" i="55385" s="1"/>
  <c r="F31" i="55385" a="1"/>
  <c r="F31" i="55385" s="1"/>
  <c r="E31" i="55385" a="1"/>
  <c r="E31" i="55385" s="1"/>
  <c r="D31" i="55385" a="1"/>
  <c r="D31" i="55385" s="1"/>
  <c r="J29" i="55385" a="1"/>
  <c r="J29" i="55385" s="1"/>
  <c r="I29" i="55385" a="1"/>
  <c r="I29" i="55385" s="1"/>
  <c r="H29" i="55385" a="1"/>
  <c r="H29" i="55385" s="1"/>
  <c r="G29" i="55385" a="1"/>
  <c r="G29" i="55385" s="1"/>
  <c r="F29" i="55385" a="1"/>
  <c r="F29" i="55385" s="1"/>
  <c r="E29" i="55385" a="1"/>
  <c r="E29" i="55385" s="1"/>
  <c r="D29" i="55385" a="1"/>
  <c r="D29" i="55385" s="1"/>
  <c r="J28" i="55385" a="1"/>
  <c r="J28" i="55385" s="1"/>
  <c r="I28" i="55385" a="1"/>
  <c r="I28" i="55385" s="1"/>
  <c r="H28" i="55385" a="1"/>
  <c r="H28" i="55385" s="1"/>
  <c r="G28" i="55385" a="1"/>
  <c r="G28" i="55385" s="1"/>
  <c r="F28" i="55385" a="1"/>
  <c r="F28" i="55385" s="1"/>
  <c r="E28" i="55385" a="1"/>
  <c r="E28" i="55385" s="1"/>
  <c r="D28" i="55385" a="1"/>
  <c r="D28" i="55385" s="1"/>
  <c r="J27" i="55385" a="1"/>
  <c r="J27" i="55385" s="1"/>
  <c r="I27" i="55385" a="1"/>
  <c r="I27" i="55385" s="1"/>
  <c r="H27" i="55385" a="1"/>
  <c r="H27" i="55385" s="1"/>
  <c r="G27" i="55385" a="1"/>
  <c r="G27" i="55385" s="1"/>
  <c r="F27" i="55385" a="1"/>
  <c r="F27" i="55385" s="1"/>
  <c r="E27" i="55385" a="1"/>
  <c r="E27" i="55385" s="1"/>
  <c r="D27" i="55385" a="1"/>
  <c r="D27" i="55385" s="1"/>
  <c r="J26" i="55385" a="1"/>
  <c r="J26" i="55385" s="1"/>
  <c r="I26" i="55385" a="1"/>
  <c r="I26" i="55385" s="1"/>
  <c r="H26" i="55385" a="1"/>
  <c r="H26" i="55385" s="1"/>
  <c r="G26" i="55385" a="1"/>
  <c r="G26" i="55385" s="1"/>
  <c r="F26" i="55385" a="1"/>
  <c r="F26" i="55385" s="1"/>
  <c r="E26" i="55385" a="1"/>
  <c r="E26" i="55385" s="1"/>
  <c r="D26" i="55385" a="1"/>
  <c r="D26" i="55385" s="1"/>
  <c r="J24" i="55385" a="1"/>
  <c r="J24" i="55385" s="1"/>
  <c r="I24" i="55385" a="1"/>
  <c r="I24" i="55385" s="1"/>
  <c r="H24" i="55385" a="1"/>
  <c r="H24" i="55385" s="1"/>
  <c r="G24" i="55385" a="1"/>
  <c r="G24" i="55385" s="1"/>
  <c r="F24" i="55385" a="1"/>
  <c r="F24" i="55385" s="1"/>
  <c r="E24" i="55385" a="1"/>
  <c r="E24" i="55385" s="1"/>
  <c r="D24" i="55385" a="1"/>
  <c r="D24" i="55385" s="1"/>
  <c r="J23" i="55385" a="1"/>
  <c r="J23" i="55385" s="1"/>
  <c r="I23" i="55385" a="1"/>
  <c r="I23" i="55385" s="1"/>
  <c r="H23" i="55385" a="1"/>
  <c r="H23" i="55385" s="1"/>
  <c r="G23" i="55385" a="1"/>
  <c r="G23" i="55385" s="1"/>
  <c r="F23" i="55385" a="1"/>
  <c r="F23" i="55385" s="1"/>
  <c r="E23" i="55385" a="1"/>
  <c r="E23" i="55385" s="1"/>
  <c r="D23" i="55385" a="1"/>
  <c r="D23" i="55385" s="1"/>
  <c r="J22" i="55385" a="1"/>
  <c r="J22" i="55385" s="1"/>
  <c r="I22" i="55385" a="1"/>
  <c r="I22" i="55385" s="1"/>
  <c r="H22" i="55385" a="1"/>
  <c r="H22" i="55385" s="1"/>
  <c r="G22" i="55385" a="1"/>
  <c r="G22" i="55385" s="1"/>
  <c r="F22" i="55385" a="1"/>
  <c r="F22" i="55385" s="1"/>
  <c r="E22" i="55385" a="1"/>
  <c r="E22" i="55385" s="1"/>
  <c r="D22" i="55385" a="1"/>
  <c r="D22" i="55385" s="1"/>
  <c r="J21" i="55385" a="1"/>
  <c r="J21" i="55385" s="1"/>
  <c r="I21" i="55385" a="1"/>
  <c r="I21" i="55385" s="1"/>
  <c r="H21" i="55385" a="1"/>
  <c r="H21" i="55385" s="1"/>
  <c r="G21" i="55385" a="1"/>
  <c r="G21" i="55385" s="1"/>
  <c r="F21" i="55385" a="1"/>
  <c r="F21" i="55385" s="1"/>
  <c r="E21" i="55385" a="1"/>
  <c r="E21" i="55385" s="1"/>
  <c r="D21" i="55385" a="1"/>
  <c r="D21" i="55385" s="1"/>
  <c r="J19" i="55385" a="1"/>
  <c r="J19" i="55385" s="1"/>
  <c r="I19" i="55385" a="1"/>
  <c r="I19" i="55385" s="1"/>
  <c r="H19" i="55385" a="1"/>
  <c r="H19" i="55385" s="1"/>
  <c r="G19" i="55385" a="1"/>
  <c r="G19" i="55385" s="1"/>
  <c r="F19" i="55385" a="1"/>
  <c r="F19" i="55385" s="1"/>
  <c r="E19" i="55385" a="1"/>
  <c r="E19" i="55385" s="1"/>
  <c r="D19" i="55385" a="1"/>
  <c r="D19" i="55385" s="1"/>
  <c r="J18" i="55385" a="1"/>
  <c r="J18" i="55385" s="1"/>
  <c r="I18" i="55385" a="1"/>
  <c r="I18" i="55385" s="1"/>
  <c r="H18" i="55385" a="1"/>
  <c r="H18" i="55385" s="1"/>
  <c r="G18" i="55385" a="1"/>
  <c r="G18" i="55385" s="1"/>
  <c r="F18" i="55385" a="1"/>
  <c r="F18" i="55385" s="1"/>
  <c r="E18" i="55385" a="1"/>
  <c r="E18" i="55385" s="1"/>
  <c r="D18" i="55385" a="1"/>
  <c r="D18" i="55385" s="1"/>
  <c r="J17" i="55385" a="1"/>
  <c r="J17" i="55385" s="1"/>
  <c r="I17" i="55385" a="1"/>
  <c r="I17" i="55385" s="1"/>
  <c r="H17" i="55385" a="1"/>
  <c r="H17" i="55385" s="1"/>
  <c r="G17" i="55385" a="1"/>
  <c r="G17" i="55385" s="1"/>
  <c r="F17" i="55385" a="1"/>
  <c r="F17" i="55385" s="1"/>
  <c r="E17" i="55385" a="1"/>
  <c r="E17" i="55385" s="1"/>
  <c r="D17" i="55385" a="1"/>
  <c r="D17" i="55385" s="1"/>
  <c r="J16" i="55385" a="1"/>
  <c r="J16" i="55385" s="1"/>
  <c r="I16" i="55385" a="1"/>
  <c r="I16" i="55385" s="1"/>
  <c r="H16" i="55385" a="1"/>
  <c r="H16" i="55385" s="1"/>
  <c r="G16" i="55385" a="1"/>
  <c r="G16" i="55385" s="1"/>
  <c r="F16" i="55385" a="1"/>
  <c r="F16" i="55385" s="1"/>
  <c r="E16" i="55385" a="1"/>
  <c r="E16" i="55385" s="1"/>
  <c r="D16" i="55385" a="1"/>
  <c r="D16" i="55385" s="1"/>
  <c r="J14" i="55385" a="1"/>
  <c r="J14" i="55385" s="1"/>
  <c r="I14" i="55385" a="1"/>
  <c r="I14" i="55385" s="1"/>
  <c r="H14" i="55385" a="1"/>
  <c r="H14" i="55385" s="1"/>
  <c r="G14" i="55385" a="1"/>
  <c r="G14" i="55385" s="1"/>
  <c r="F14" i="55385" a="1"/>
  <c r="F14" i="55385" s="1"/>
  <c r="E14" i="55385" a="1"/>
  <c r="E14" i="55385" s="1"/>
  <c r="D14" i="55385" a="1"/>
  <c r="D14" i="55385" s="1"/>
  <c r="J13" i="55385" a="1"/>
  <c r="J13" i="55385" s="1"/>
  <c r="I13" i="55385" a="1"/>
  <c r="I13" i="55385" s="1"/>
  <c r="H13" i="55385" a="1"/>
  <c r="H13" i="55385" s="1"/>
  <c r="G13" i="55385" a="1"/>
  <c r="G13" i="55385" s="1"/>
  <c r="F13" i="55385" a="1"/>
  <c r="F13" i="55385" s="1"/>
  <c r="E13" i="55385" a="1"/>
  <c r="E13" i="55385" s="1"/>
  <c r="D13" i="55385" a="1"/>
  <c r="D13" i="55385" s="1"/>
  <c r="J12" i="55385" a="1"/>
  <c r="J12" i="55385" s="1"/>
  <c r="I12" i="55385" a="1"/>
  <c r="I12" i="55385" s="1"/>
  <c r="H12" i="55385" a="1"/>
  <c r="H12" i="55385" s="1"/>
  <c r="G12" i="55385" a="1"/>
  <c r="G12" i="55385" s="1"/>
  <c r="F12" i="55385" a="1"/>
  <c r="F12" i="55385" s="1"/>
  <c r="E12" i="55385" a="1"/>
  <c r="E12" i="55385" s="1"/>
  <c r="D12" i="55385" a="1"/>
  <c r="D12" i="55385" s="1"/>
  <c r="J11" i="55385" a="1"/>
  <c r="J11" i="55385" s="1"/>
  <c r="I11" i="55385" a="1"/>
  <c r="I11" i="55385" s="1"/>
  <c r="H11" i="55385" a="1"/>
  <c r="H11" i="55385" s="1"/>
  <c r="G11" i="55385" a="1"/>
  <c r="G11" i="55385" s="1"/>
  <c r="F11" i="55385" a="1"/>
  <c r="F11" i="55385" s="1"/>
  <c r="E11" i="55385" a="1"/>
  <c r="E11" i="55385" s="1"/>
  <c r="D11" i="55385" a="1"/>
  <c r="D11" i="55385" s="1"/>
  <c r="J9" i="55385" a="1"/>
  <c r="J9" i="55385" s="1"/>
  <c r="I9" i="55385" a="1"/>
  <c r="I9" i="55385" s="1"/>
  <c r="H9" i="55385" a="1"/>
  <c r="H9" i="55385" s="1"/>
  <c r="G9" i="55385" a="1"/>
  <c r="G9" i="55385" s="1"/>
  <c r="F9" i="55385" a="1"/>
  <c r="F9" i="55385" s="1"/>
  <c r="E9" i="55385" a="1"/>
  <c r="E9" i="55385" s="1"/>
  <c r="D9" i="55385" a="1"/>
  <c r="D9" i="55385" s="1"/>
  <c r="J8" i="55385" a="1"/>
  <c r="J8" i="55385" s="1"/>
  <c r="I8" i="55385" a="1"/>
  <c r="I8" i="55385" s="1"/>
  <c r="H8" i="55385" a="1"/>
  <c r="H8" i="55385" s="1"/>
  <c r="G8" i="55385" a="1"/>
  <c r="G8" i="55385" s="1"/>
  <c r="F8" i="55385" a="1"/>
  <c r="F8" i="55385" s="1"/>
  <c r="E8" i="55385" a="1"/>
  <c r="E8" i="55385" s="1"/>
  <c r="D8" i="55385" a="1"/>
  <c r="D8" i="55385" s="1"/>
  <c r="J7" i="55385" a="1"/>
  <c r="J7" i="55385" s="1"/>
  <c r="I7" i="55385" a="1"/>
  <c r="I7" i="55385" s="1"/>
  <c r="H7" i="55385" a="1"/>
  <c r="H7" i="55385" s="1"/>
  <c r="G7" i="55385" a="1"/>
  <c r="G7" i="55385" s="1"/>
  <c r="F7" i="55385" a="1"/>
  <c r="F7" i="55385" s="1"/>
  <c r="E7" i="55385" a="1"/>
  <c r="E7" i="55385" s="1"/>
  <c r="D7" i="55385" a="1"/>
  <c r="D7" i="55385" s="1"/>
  <c r="J6" i="55385" a="1"/>
  <c r="J6" i="55385" s="1"/>
  <c r="I6" i="55385" a="1"/>
  <c r="I6" i="55385" s="1"/>
  <c r="H6" i="55385" a="1"/>
  <c r="H6" i="55385" s="1"/>
  <c r="G6" i="55385" a="1"/>
  <c r="G6" i="55385" s="1"/>
  <c r="F6" i="55385" a="1"/>
  <c r="F6" i="55385" s="1"/>
  <c r="E6" i="55385" a="1"/>
  <c r="E6" i="55385" s="1"/>
  <c r="D6" i="55385" a="1"/>
  <c r="D6" i="55385" s="1"/>
  <c r="H81" i="55385"/>
  <c r="D81" i="55385"/>
  <c r="F81" i="55385" l="1"/>
  <c r="D106" i="55385"/>
  <c r="F106" i="55385"/>
  <c r="H106" i="55385"/>
  <c r="J106" i="55385"/>
  <c r="E106" i="55385"/>
  <c r="G106" i="55385"/>
  <c r="I106" i="55385"/>
  <c r="E73" i="55385"/>
  <c r="G73" i="55385"/>
  <c r="I73" i="55385"/>
  <c r="D73" i="55385"/>
  <c r="F73" i="55385"/>
  <c r="H73" i="55385"/>
  <c r="J73" i="55385"/>
  <c r="E111" i="55385"/>
  <c r="G111" i="55385"/>
  <c r="I111" i="55385"/>
  <c r="D86" i="55385"/>
  <c r="F86" i="55385"/>
  <c r="H86" i="55385"/>
  <c r="D96" i="55385"/>
  <c r="F96" i="55385"/>
  <c r="H96" i="55385"/>
  <c r="D101" i="55385"/>
  <c r="F101" i="55385"/>
  <c r="H101" i="55385"/>
  <c r="J101" i="55385"/>
  <c r="D111" i="55385"/>
  <c r="F111" i="55385"/>
  <c r="H111" i="55385"/>
  <c r="J111" i="55385"/>
  <c r="E101" i="55385"/>
  <c r="G101" i="55385"/>
  <c r="I101" i="55385"/>
  <c r="E96" i="55385"/>
  <c r="G96" i="55385"/>
  <c r="I96" i="55385"/>
  <c r="J96" i="55385"/>
  <c r="J86" i="55385"/>
  <c r="E86" i="55385"/>
  <c r="G86" i="55385"/>
  <c r="I86" i="55385"/>
  <c r="J81" i="55385"/>
  <c r="E81" i="55385"/>
  <c r="G81" i="55385"/>
  <c r="I81" i="55385"/>
  <c r="J63" i="55385"/>
  <c r="J10" i="55385"/>
  <c r="J20" i="55385"/>
  <c r="J25" i="55385"/>
  <c r="J30" i="55385"/>
  <c r="J35" i="55385"/>
  <c r="J43" i="55385"/>
  <c r="J48" i="55385"/>
  <c r="J53" i="55385"/>
  <c r="J58" i="55385"/>
  <c r="J15" i="55385"/>
  <c r="D43" i="55385"/>
  <c r="F43" i="55385"/>
  <c r="H43" i="55385"/>
  <c r="D48" i="55385"/>
  <c r="F48" i="55385"/>
  <c r="H48" i="55385"/>
  <c r="D53" i="55385"/>
  <c r="F53" i="55385"/>
  <c r="H53" i="55385"/>
  <c r="D58" i="55385"/>
  <c r="F58" i="55385"/>
  <c r="H58" i="55385"/>
  <c r="D63" i="55385"/>
  <c r="F63" i="55385"/>
  <c r="H63" i="55385"/>
  <c r="E63" i="55385"/>
  <c r="G63" i="55385"/>
  <c r="I63" i="55385"/>
  <c r="E58" i="55385"/>
  <c r="G58" i="55385"/>
  <c r="I58" i="55385"/>
  <c r="E53" i="55385"/>
  <c r="G53" i="55385"/>
  <c r="I53" i="55385"/>
  <c r="E48" i="55385"/>
  <c r="G48" i="55385"/>
  <c r="I48" i="55385"/>
  <c r="E43" i="55385"/>
  <c r="G43" i="55385"/>
  <c r="I43" i="55385"/>
  <c r="G10" i="55385"/>
  <c r="G15" i="55385"/>
  <c r="G20" i="55385"/>
  <c r="G25" i="55385"/>
  <c r="G30" i="55385"/>
  <c r="G35" i="55385"/>
  <c r="F10" i="55385"/>
  <c r="F15" i="55385"/>
  <c r="F20" i="55385"/>
  <c r="F25" i="55385"/>
  <c r="D15" i="55385"/>
  <c r="D20" i="55385"/>
  <c r="D25" i="55385"/>
  <c r="D30" i="55385"/>
  <c r="D35" i="55385"/>
  <c r="D10" i="55385"/>
  <c r="H10" i="55385"/>
  <c r="I10" i="55385"/>
  <c r="H30" i="55385"/>
  <c r="H15" i="55385"/>
  <c r="H20" i="55385"/>
  <c r="H35" i="55385"/>
  <c r="H25" i="55385"/>
  <c r="I15" i="55385"/>
  <c r="I20" i="55385"/>
  <c r="I25" i="55385"/>
  <c r="I30" i="55385"/>
  <c r="I35" i="55385"/>
  <c r="E10" i="55385"/>
  <c r="E15" i="55385"/>
  <c r="E20" i="55385"/>
  <c r="E25" i="55385"/>
  <c r="E30" i="55385"/>
  <c r="E35" i="55385"/>
  <c r="E5" i="55385" l="1"/>
  <c r="I5" i="55385"/>
  <c r="N5" i="55385" s="1"/>
  <c r="R5" i="55385" s="1"/>
  <c r="H5" i="55385"/>
  <c r="M5" i="55385" s="1"/>
  <c r="Q5" i="55385" s="1"/>
  <c r="J5" i="55385"/>
  <c r="D5" i="55385"/>
  <c r="K5" i="55385" s="1"/>
  <c r="O5" i="55385" s="1"/>
  <c r="G5" i="55385"/>
  <c r="L5" i="55385" s="1"/>
  <c r="P5" i="55385" s="1"/>
  <c r="I74" i="55385"/>
  <c r="E74" i="55385"/>
  <c r="F74" i="55385"/>
  <c r="G74" i="55385"/>
  <c r="H74" i="55385"/>
  <c r="D74" i="55385"/>
  <c r="J74" i="55385"/>
  <c r="I112" i="55385"/>
  <c r="N112" i="55385" s="1"/>
  <c r="R112" i="55385" s="1"/>
  <c r="E112" i="55385"/>
  <c r="H112" i="55385"/>
  <c r="M112" i="55385" s="1"/>
  <c r="Q112" i="55385" s="1"/>
  <c r="D112" i="55385"/>
  <c r="K112" i="55385" s="1"/>
  <c r="O112" i="55385" s="1"/>
  <c r="F112" i="55385"/>
  <c r="G112" i="55385"/>
  <c r="L112" i="55385" s="1"/>
  <c r="P112" i="55385" s="1"/>
  <c r="J112" i="55385"/>
  <c r="G4" i="55385"/>
  <c r="H4" i="55385"/>
  <c r="E4" i="55385"/>
  <c r="D4" i="55385"/>
  <c r="I4" i="55385"/>
  <c r="J4" i="55385"/>
  <c r="F35" i="55385"/>
  <c r="F30" i="55385"/>
  <c r="E36" i="55385"/>
  <c r="I36" i="55385"/>
  <c r="G36" i="55385"/>
  <c r="D36" i="55385"/>
  <c r="H36" i="55385"/>
  <c r="J36" i="55385"/>
  <c r="F5" i="55385" l="1"/>
  <c r="F4" i="55385"/>
  <c r="F36" i="55385"/>
  <c r="L4" i="55385"/>
  <c r="P4" i="55385" s="1"/>
  <c r="M4" i="55385"/>
  <c r="Q4" i="55385" s="1"/>
  <c r="N4" i="55385"/>
  <c r="R4" i="55385" s="1"/>
  <c r="K4" i="55385"/>
  <c r="O4" i="55385" s="1"/>
  <c r="F5" i="55388"/>
  <c r="C5" i="55388"/>
  <c r="C12" i="55388" s="1"/>
  <c r="E35" i="55388"/>
  <c r="F35" i="55388" s="1"/>
  <c r="E4" i="55388" l="1"/>
  <c r="F4" i="55388" s="1"/>
  <c r="C35" i="55388"/>
  <c r="C4" i="55388"/>
</calcChain>
</file>

<file path=xl/sharedStrings.xml><?xml version="1.0" encoding="utf-8"?>
<sst xmlns="http://schemas.openxmlformats.org/spreadsheetml/2006/main" count="4170" uniqueCount="1162">
  <si>
    <t>Serial
Number</t>
  </si>
  <si>
    <t>Code Level</t>
  </si>
  <si>
    <t>Percent
Free</t>
  </si>
  <si>
    <t>Frame
Model</t>
  </si>
  <si>
    <t>Capacity</t>
  </si>
  <si>
    <t>Rutherford, NJ</t>
  </si>
  <si>
    <t>390 Greenwich, NY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</si>
  <si>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</si>
  <si>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</si>
  <si>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</si>
  <si>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</si>
  <si>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</si>
  <si>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</si>
  <si>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</si>
  <si>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</si>
  <si>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</si>
  <si>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</si>
  <si>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</si>
  <si>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</si>
  <si>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Roanoke, TX (SWDC)</t>
  </si>
  <si>
    <t>Tier</t>
  </si>
  <si>
    <t>Tier-1</t>
  </si>
  <si>
    <t>Usage</t>
  </si>
  <si>
    <t>Replication</t>
  </si>
  <si>
    <t>Tier-2</t>
  </si>
  <si>
    <t>Tier-4</t>
  </si>
  <si>
    <t>Free</t>
  </si>
  <si>
    <t>% Free</t>
  </si>
  <si>
    <t>San</t>
  </si>
  <si>
    <t>Total Installed</t>
  </si>
  <si>
    <t>Total Site</t>
  </si>
  <si>
    <t>Roanoke, TX</t>
  </si>
  <si>
    <t>Array</t>
  </si>
  <si>
    <t>Vendor &amp; Model</t>
  </si>
  <si>
    <t>Unformatted 
Disk Total</t>
  </si>
  <si>
    <t>Formatted
Disk Total</t>
  </si>
  <si>
    <t>Device
Total</t>
  </si>
  <si>
    <t>Allocated</t>
  </si>
  <si>
    <t>% 
Allocated</t>
  </si>
  <si>
    <t>Notes</t>
  </si>
  <si>
    <t>EMC Clariion CX700</t>
  </si>
  <si>
    <t>Non-replicated</t>
  </si>
  <si>
    <t>Not replicated</t>
  </si>
  <si>
    <t>390 Greenwich</t>
  </si>
  <si>
    <t>Replicated</t>
  </si>
  <si>
    <t>EMC Symmetrix DMX3-24</t>
  </si>
  <si>
    <t>EMC Clariion CX400</t>
  </si>
  <si>
    <t>Rutherford</t>
  </si>
  <si>
    <t>SWDC</t>
  </si>
  <si>
    <t>Array Serial #</t>
  </si>
  <si>
    <t>Tier-5</t>
  </si>
  <si>
    <t>Free
(GB)</t>
  </si>
  <si>
    <t>Allocated
(GB)</t>
  </si>
  <si>
    <t>Local</t>
  </si>
  <si>
    <t>Dedicated to: SAWGRASS</t>
  </si>
  <si>
    <t>000190102277</t>
  </si>
  <si>
    <t>000190102273</t>
  </si>
  <si>
    <t>Dedicated to: CIE</t>
  </si>
  <si>
    <t>000190102605</t>
  </si>
  <si>
    <t>APM00054202873</t>
  </si>
  <si>
    <t>Device Total
(TB)</t>
  </si>
  <si>
    <t>Allocated
(TB)</t>
  </si>
  <si>
    <t>Free
(TB)</t>
  </si>
  <si>
    <t>Device Total
(PB)</t>
  </si>
  <si>
    <t>Allocated
(PB)</t>
  </si>
  <si>
    <t>Free
(PB)</t>
  </si>
  <si>
    <t>Note: Space is computed using the "exact" method</t>
  </si>
  <si>
    <t>1GB = 1024*1024*1024 = 1,073,741,824 Bytes</t>
  </si>
  <si>
    <t>1TB = 1024*1024*1024*1024 = 1,099,511,627,776 Bytes</t>
  </si>
  <si>
    <t>1PB = 1024*1024*1024*1024*1024 = 1,125,899,906,842,620 Bytes</t>
  </si>
  <si>
    <t>Cisco</t>
  </si>
  <si>
    <t>DS-C9513</t>
  </si>
  <si>
    <t>Columbus, OH</t>
  </si>
  <si>
    <t>Columbus, Ohio</t>
  </si>
  <si>
    <t>000190103105</t>
  </si>
  <si>
    <t>HDS HDS R600</t>
  </si>
  <si>
    <t>000190104087</t>
  </si>
  <si>
    <t>EMC Symmetrix DMX4-24</t>
  </si>
  <si>
    <t>000190103851</t>
  </si>
  <si>
    <t>DS-C9509</t>
  </si>
  <si>
    <t>Georgetown, TX</t>
  </si>
  <si>
    <t>000190102437</t>
  </si>
  <si>
    <t>000190104182</t>
  </si>
  <si>
    <t>GTDC</t>
  </si>
  <si>
    <t>000190103715</t>
  </si>
  <si>
    <t>000190103986</t>
  </si>
  <si>
    <t>O'Fallon, MO</t>
  </si>
  <si>
    <t>Ofallon</t>
  </si>
  <si>
    <t>000190102193</t>
  </si>
  <si>
    <t>EMC Clariion CX3-80</t>
  </si>
  <si>
    <t>Install 2008-07</t>
  </si>
  <si>
    <t>000190103668</t>
  </si>
  <si>
    <t>000190100857</t>
  </si>
  <si>
    <t>APM00072402371</t>
  </si>
  <si>
    <t>EMC Clariion CX3-40f</t>
  </si>
  <si>
    <t>18666</t>
  </si>
  <si>
    <t>18667</t>
  </si>
  <si>
    <t>Unconfigured
Disk Total</t>
  </si>
  <si>
    <t>Tier 2</t>
  </si>
  <si>
    <t>Tier 4</t>
  </si>
  <si>
    <t xml:space="preserve"> </t>
  </si>
  <si>
    <t>Tier 1</t>
  </si>
  <si>
    <t>Tier 5</t>
  </si>
  <si>
    <t>000190102071</t>
  </si>
  <si>
    <t>000190103369</t>
  </si>
  <si>
    <t>18661</t>
  </si>
  <si>
    <t>SL7E1082200078</t>
  </si>
  <si>
    <t>EMC Clariion AX4-5</t>
  </si>
  <si>
    <t>SL7E1082200083</t>
  </si>
  <si>
    <t>APM00082002106</t>
  </si>
  <si>
    <t>000190104687</t>
  </si>
  <si>
    <t>SL7E1082200076</t>
  </si>
  <si>
    <t>Code
Level</t>
  </si>
  <si>
    <t>2.19.400.5.044</t>
  </si>
  <si>
    <t>000190104688</t>
  </si>
  <si>
    <t>Install 2008-12</t>
  </si>
  <si>
    <t>Install 2007-05</t>
  </si>
  <si>
    <t>Install 2008-09</t>
  </si>
  <si>
    <t>Install 2008-11</t>
  </si>
  <si>
    <t>Install 2008-06</t>
  </si>
  <si>
    <t>Install 2008-10</t>
  </si>
  <si>
    <t>Install 2008-02</t>
  </si>
  <si>
    <t>Install 2008-02 (GCOT)</t>
  </si>
  <si>
    <t>3.26.40.5.010</t>
  </si>
  <si>
    <t>000190104771</t>
  </si>
  <si>
    <t>000190104867</t>
  </si>
  <si>
    <t>Install 2009-01</t>
  </si>
  <si>
    <t>SL7E1083800005</t>
  </si>
  <si>
    <t>SL7E1083800006</t>
  </si>
  <si>
    <t>SL7E1083600196</t>
  </si>
  <si>
    <t>SL7E1083800063</t>
  </si>
  <si>
    <t>SL7E1083800004</t>
  </si>
  <si>
    <t>SL7E1083800071</t>
  </si>
  <si>
    <t>SL7E1083700109</t>
  </si>
  <si>
    <t>SL7E1083800002</t>
  </si>
  <si>
    <t>SL7E1083800003</t>
  </si>
  <si>
    <t>SL7E1083700111</t>
  </si>
  <si>
    <t>2.23.50.5.703</t>
  </si>
  <si>
    <t>SL7E1083500022</t>
  </si>
  <si>
    <t>SL7E1083500024</t>
  </si>
  <si>
    <t>SL7E1083500021</t>
  </si>
  <si>
    <t>SL7E1083800062</t>
  </si>
  <si>
    <t>SL7E1083700112</t>
  </si>
  <si>
    <t>SL7E1083700116</t>
  </si>
  <si>
    <t>SL7E1083500020</t>
  </si>
  <si>
    <t>SL7E1083500028</t>
  </si>
  <si>
    <t>SL7E1083800079</t>
  </si>
  <si>
    <t>SL7E1083500029</t>
  </si>
  <si>
    <t>APM00084500357</t>
  </si>
  <si>
    <t>SL7E1083800061</t>
  </si>
  <si>
    <t>SL7E1083800065</t>
  </si>
  <si>
    <t>SL7E1083800064</t>
  </si>
  <si>
    <t>SL7E1083800055</t>
  </si>
  <si>
    <t>SL7E1083800066</t>
  </si>
  <si>
    <t>SL7E1083800070</t>
  </si>
  <si>
    <t>SL7E1083800057</t>
  </si>
  <si>
    <t>SL7E1083800059</t>
  </si>
  <si>
    <t>SL7E1083800053</t>
  </si>
  <si>
    <t>SL7E1083800060</t>
  </si>
  <si>
    <t>APM00084401231</t>
  </si>
  <si>
    <t>SL7E1083500016</t>
  </si>
  <si>
    <t>SL7E1083500019</t>
  </si>
  <si>
    <t>SL7E1083800082</t>
  </si>
  <si>
    <t>SL7E1083500025</t>
  </si>
  <si>
    <t>SL7E1083500015</t>
  </si>
  <si>
    <t>Install 2008-08 HDP</t>
  </si>
  <si>
    <t>SL7E1083500026</t>
  </si>
  <si>
    <t>000190104944</t>
  </si>
  <si>
    <t>Install 2009-03</t>
  </si>
  <si>
    <t>000190105174</t>
  </si>
  <si>
    <t>000190103498</t>
  </si>
  <si>
    <t>Unformatted
Total
(GB)</t>
  </si>
  <si>
    <t>Formatted
Total
(GB)</t>
  </si>
  <si>
    <t>Unconfigured 
Total
(GB)</t>
  </si>
  <si>
    <t>Device
Total
(GB)</t>
  </si>
  <si>
    <t>Unformatted
Total
(TB)</t>
  </si>
  <si>
    <t>Unformatted
Total
(PB)</t>
  </si>
  <si>
    <r>
      <t xml:space="preserve">Site Summary and Capacity Analysis
Note: Items in </t>
    </r>
    <r>
      <rPr>
        <sz val="14"/>
        <color indexed="10"/>
        <rFont val="Arial"/>
        <family val="2"/>
      </rPr>
      <t>red</t>
    </r>
    <r>
      <rPr>
        <sz val="14"/>
        <rFont val="Arial"/>
        <family val="2"/>
      </rPr>
      <t xml:space="preserve"> may not be accurate by Tier, however site totals are accurate for these columns</t>
    </r>
  </si>
  <si>
    <t>Install 2009-04</t>
  </si>
  <si>
    <t>000190104992</t>
  </si>
  <si>
    <t>000190104686</t>
  </si>
  <si>
    <t>000190105249</t>
  </si>
  <si>
    <t>FCNMM090300197</t>
  </si>
  <si>
    <t>000190105219</t>
  </si>
  <si>
    <t>000190104736</t>
  </si>
  <si>
    <t>Install 2009-05</t>
  </si>
  <si>
    <t>000190105291</t>
  </si>
  <si>
    <t>28392</t>
  </si>
  <si>
    <t>28425</t>
  </si>
  <si>
    <t>Install 2009-05 HDP</t>
  </si>
  <si>
    <t>2.26.700.5.025</t>
  </si>
  <si>
    <t>000190104935</t>
  </si>
  <si>
    <t>Install 2009-06</t>
  </si>
  <si>
    <t>EMC Centera CE+</t>
  </si>
  <si>
    <t>000190104244</t>
  </si>
  <si>
    <t>000190105255</t>
  </si>
  <si>
    <t>000190104419</t>
  </si>
  <si>
    <t>000190105169</t>
  </si>
  <si>
    <t>Install 2009-07</t>
  </si>
  <si>
    <t>000190105196</t>
  </si>
  <si>
    <t>Install 2009-08</t>
  </si>
  <si>
    <t>FCNMM091900050</t>
  </si>
  <si>
    <t>FCNMM091900026</t>
  </si>
  <si>
    <t>04.28.000.5.501</t>
  </si>
  <si>
    <t>Legacy NAIT</t>
  </si>
  <si>
    <t>MWDC</t>
  </si>
  <si>
    <t>EMC Clariion CX3-10c</t>
  </si>
  <si>
    <t>3.26.10.5.025</t>
  </si>
  <si>
    <t>Jacksonville, FL</t>
  </si>
  <si>
    <t>APM00085100915</t>
  </si>
  <si>
    <t>APM00071901293</t>
  </si>
  <si>
    <t>APM00070300462</t>
  </si>
  <si>
    <t>APM00072402269</t>
  </si>
  <si>
    <t>Jacksonville</t>
  </si>
  <si>
    <t>EMC Clariion CX4-120</t>
  </si>
  <si>
    <t>3.26.80.5.025</t>
  </si>
  <si>
    <t>3.26.40.5.025</t>
  </si>
  <si>
    <t>London, Canada</t>
  </si>
  <si>
    <t>APM00074700921</t>
  </si>
  <si>
    <t>APM00031000208</t>
  </si>
  <si>
    <t>London</t>
  </si>
  <si>
    <t>Mississauga, Canada</t>
  </si>
  <si>
    <t>APM00073104380</t>
  </si>
  <si>
    <t>Mississauga</t>
  </si>
  <si>
    <t>The Lakes, NV</t>
  </si>
  <si>
    <t>Nevada</t>
  </si>
  <si>
    <t>000190102064</t>
  </si>
  <si>
    <t>Install 2009-10</t>
  </si>
  <si>
    <t>04.28.000.5.706</t>
  </si>
  <si>
    <t>APM00070501737</t>
  </si>
  <si>
    <t>Total All CTI Sites</t>
  </si>
  <si>
    <t>Legacy NAIT Sites</t>
  </si>
  <si>
    <t>Total All Legacy NAIT Sites</t>
  </si>
  <si>
    <t>Columbus, OH (MWDC)</t>
  </si>
  <si>
    <t>FNM00085200120</t>
  </si>
  <si>
    <t>Install 2009-11</t>
  </si>
  <si>
    <t>48555</t>
  </si>
  <si>
    <t>Install 2009-11 HDP</t>
  </si>
  <si>
    <t>29044</t>
  </si>
  <si>
    <t>Install 2009-12 HDP</t>
  </si>
  <si>
    <t>000190103929</t>
  </si>
  <si>
    <t>Install 2009-12</t>
  </si>
  <si>
    <t>28896</t>
  </si>
  <si>
    <t>000290100205</t>
  </si>
  <si>
    <t>390-c-11</t>
  </si>
  <si>
    <t>390-e-11</t>
  </si>
  <si>
    <t>29131</t>
  </si>
  <si>
    <t>Install 2010-03 HDP</t>
  </si>
  <si>
    <t>2.23.50.5.707</t>
  </si>
  <si>
    <t>SL7E1100900080</t>
  </si>
  <si>
    <t>Install 2010-04</t>
  </si>
  <si>
    <t>SL7E1083100029</t>
  </si>
  <si>
    <t>SL7E1100900005</t>
  </si>
  <si>
    <t>SL7E1100900078</t>
  </si>
  <si>
    <t>SL7E1100900014</t>
  </si>
  <si>
    <t>SL7E1100900092</t>
  </si>
  <si>
    <t>SL7E1083700009</t>
  </si>
  <si>
    <t>SL7E1100900009</t>
  </si>
  <si>
    <t>SL7E1100900089</t>
  </si>
  <si>
    <t>SL7E1100900016</t>
  </si>
  <si>
    <t>SL7E1100900040</t>
  </si>
  <si>
    <t>SL7E1100900094</t>
  </si>
  <si>
    <t>SL7E1100900096</t>
  </si>
  <si>
    <t>SL7E1100900077</t>
  </si>
  <si>
    <t>SL7E1094300049</t>
  </si>
  <si>
    <t>SL7E1100900093</t>
  </si>
  <si>
    <t>000192601786</t>
  </si>
  <si>
    <t>EMC Symmetrix VMAX-1</t>
  </si>
  <si>
    <t>000192602531</t>
  </si>
  <si>
    <t>Install 2010-01</t>
  </si>
  <si>
    <t>Install 2010-05</t>
  </si>
  <si>
    <t>000192602179</t>
  </si>
  <si>
    <t>000192602079</t>
  </si>
  <si>
    <t>000192602212</t>
  </si>
  <si>
    <t>000192602275</t>
  </si>
  <si>
    <t>000192601407</t>
  </si>
  <si>
    <t>000192601795</t>
  </si>
  <si>
    <t>000192601796</t>
  </si>
  <si>
    <t>SL7E1095100057</t>
  </si>
  <si>
    <t>Install 2010-06</t>
  </si>
  <si>
    <t>000192601748</t>
  </si>
  <si>
    <t>000192602581</t>
  </si>
  <si>
    <t>000192602528</t>
  </si>
  <si>
    <t>FCNMM094700098</t>
  </si>
  <si>
    <t>SL7E1100900002</t>
  </si>
  <si>
    <t>000192602810</t>
  </si>
  <si>
    <t>Install 2010-07</t>
  </si>
  <si>
    <t>000194900260</t>
  </si>
  <si>
    <t>EMC Symmetrix VMAX-1SE</t>
  </si>
  <si>
    <t>Install 2010-09 (from 111w)</t>
  </si>
  <si>
    <t>000192602916</t>
  </si>
  <si>
    <t>Install 2010-09</t>
  </si>
  <si>
    <t>Install 2010-10 (from 111W)</t>
  </si>
  <si>
    <t>000192603117</t>
  </si>
  <si>
    <t>Install 2010-10</t>
  </si>
  <si>
    <t>000192603267</t>
  </si>
  <si>
    <t>000192603065</t>
  </si>
  <si>
    <t>000192603525</t>
  </si>
  <si>
    <t>Install 2010-11</t>
  </si>
  <si>
    <t>000192603275</t>
  </si>
  <si>
    <t>SL7E1104000084</t>
  </si>
  <si>
    <t>SL7E1104000093</t>
  </si>
  <si>
    <t>SL7E1104000081</t>
  </si>
  <si>
    <t>FCNMM103000111</t>
  </si>
  <si>
    <t>SL7E1104000088</t>
  </si>
  <si>
    <t>FCNMM102900059</t>
  </si>
  <si>
    <t>FCNMM103000132</t>
  </si>
  <si>
    <t>SL7E1104300008</t>
  </si>
  <si>
    <t>FCNMM102900057</t>
  </si>
  <si>
    <t>FCNMM102900055</t>
  </si>
  <si>
    <t>APM00104501987</t>
  </si>
  <si>
    <t>000192603107</t>
  </si>
  <si>
    <t>Install 2011-01</t>
  </si>
  <si>
    <t>000192603346</t>
  </si>
  <si>
    <t>000192603092</t>
  </si>
  <si>
    <t>000192603826</t>
  </si>
  <si>
    <t>Jardines</t>
  </si>
  <si>
    <t>000190103245</t>
  </si>
  <si>
    <t>000190103273</t>
  </si>
  <si>
    <t>000190104120</t>
  </si>
  <si>
    <t>000190104788</t>
  </si>
  <si>
    <t>000190300589</t>
  </si>
  <si>
    <t>EMC Symmetrix DMX3-6</t>
  </si>
  <si>
    <t>Monterrey</t>
  </si>
  <si>
    <t>Latin America (LATAM)</t>
  </si>
  <si>
    <t>North America (NAM)</t>
  </si>
  <si>
    <t>CKM00100900286</t>
  </si>
  <si>
    <t>SL7E1092800028</t>
  </si>
  <si>
    <t>SL7E1084300135</t>
  </si>
  <si>
    <t>SL7E1093200043</t>
  </si>
  <si>
    <t>CKM00100600045</t>
  </si>
  <si>
    <t>FCNMM095000008</t>
  </si>
  <si>
    <t>FCNMM094900276</t>
  </si>
  <si>
    <t>FCNMM095000001</t>
  </si>
  <si>
    <t>FCNMM095000003</t>
  </si>
  <si>
    <t>SL7E1100500123</t>
  </si>
  <si>
    <t>SL7E1100600019</t>
  </si>
  <si>
    <t>SL7E1100500118</t>
  </si>
  <si>
    <t>FCNMM094900289</t>
  </si>
  <si>
    <t>SL7E1100500116</t>
  </si>
  <si>
    <t>APM00100800527</t>
  </si>
  <si>
    <t>EMC Clariion CX4-240</t>
  </si>
  <si>
    <t>SL7E1100500052</t>
  </si>
  <si>
    <t>SL7E1100500001</t>
  </si>
  <si>
    <t>Argentina, Villa Adelina</t>
  </si>
  <si>
    <t>Mexico, Mexico City (Jardines)</t>
  </si>
  <si>
    <t>Mexico, Monterrey</t>
  </si>
  <si>
    <t>Villa Adelina</t>
  </si>
  <si>
    <t>Colombia, Bogota</t>
  </si>
  <si>
    <t>Bogota</t>
  </si>
  <si>
    <t>Brazil, Sao Paulo</t>
  </si>
  <si>
    <t>000192603129</t>
  </si>
  <si>
    <t>SL7E1103400029</t>
  </si>
  <si>
    <t>000192603116</t>
  </si>
  <si>
    <t>000192603779</t>
  </si>
  <si>
    <t>Total All NAM Sites</t>
  </si>
  <si>
    <t>Latin America (LATAM) Sites</t>
  </si>
  <si>
    <t>Sao Paulo</t>
  </si>
  <si>
    <t>Total All LATAM Sites</t>
  </si>
  <si>
    <t>Total NAM and LATAM Sites</t>
  </si>
  <si>
    <t>000192603763</t>
  </si>
  <si>
    <t>Install 2011-02</t>
  </si>
  <si>
    <t>000192603975</t>
  </si>
  <si>
    <t>000192603114</t>
  </si>
  <si>
    <t>SL7E1103100023</t>
  </si>
  <si>
    <t>000192603951</t>
  </si>
  <si>
    <t>APM00110102156</t>
  </si>
  <si>
    <t>000192603856</t>
  </si>
  <si>
    <t>000192603810</t>
  </si>
  <si>
    <t>Install 2011-03</t>
  </si>
  <si>
    <t>000192603337</t>
  </si>
  <si>
    <t>000192603956</t>
  </si>
  <si>
    <t>APM00104300278</t>
  </si>
  <si>
    <t>FNM00103500190</t>
  </si>
  <si>
    <t>Install 2011-04</t>
  </si>
  <si>
    <t>04.28.000.5.704</t>
  </si>
  <si>
    <t>FNM00103400242</t>
  </si>
  <si>
    <t>FNM00103200397</t>
  </si>
  <si>
    <t>FNM00103400241</t>
  </si>
  <si>
    <t>Urbandale, IA</t>
  </si>
  <si>
    <t>Urbandale</t>
  </si>
  <si>
    <t>APM00105200267</t>
  </si>
  <si>
    <t>APM00105101584</t>
  </si>
  <si>
    <t>Columbus</t>
  </si>
  <si>
    <t>Install 2011-05</t>
  </si>
  <si>
    <t>000192603662</t>
  </si>
  <si>
    <t>65064</t>
  </si>
  <si>
    <t>HDS HDS R700</t>
  </si>
  <si>
    <t>65075</t>
  </si>
  <si>
    <t>65289</t>
  </si>
  <si>
    <t>2.23.50.5.710</t>
  </si>
  <si>
    <t>Install 2011-06</t>
  </si>
  <si>
    <t>APM00110800986</t>
  </si>
  <si>
    <t>APM00110401224</t>
  </si>
  <si>
    <t>53562</t>
  </si>
  <si>
    <t>53758</t>
  </si>
  <si>
    <t>390-c-13</t>
  </si>
  <si>
    <t>390-e-13</t>
  </si>
  <si>
    <t>000192603828</t>
  </si>
  <si>
    <t>Install 2011-07</t>
  </si>
  <si>
    <t>65029</t>
  </si>
  <si>
    <t>65037</t>
  </si>
  <si>
    <t>Install 2011-04 HDP</t>
  </si>
  <si>
    <t>000192604449</t>
  </si>
  <si>
    <t>000192600425</t>
  </si>
  <si>
    <t>65389</t>
  </si>
  <si>
    <t>Install 2011-06 HDP</t>
  </si>
  <si>
    <t>000192603336</t>
  </si>
  <si>
    <t>Install 2011-07 FAST VP</t>
  </si>
  <si>
    <t>Install 2011-08</t>
  </si>
  <si>
    <t>APM00110400861</t>
  </si>
  <si>
    <t>Install 2011-09</t>
  </si>
  <si>
    <t>Santa Fe</t>
  </si>
  <si>
    <t>Mexico, Mexico City (Santa Fe)</t>
  </si>
  <si>
    <t>000192600565</t>
  </si>
  <si>
    <t>Install 2011-09 Mantas</t>
  </si>
  <si>
    <t>FCNMM090300216</t>
  </si>
  <si>
    <t>FCNMM110200095</t>
  </si>
  <si>
    <t>000192600736</t>
  </si>
  <si>
    <t>Install 2011-10</t>
  </si>
  <si>
    <t>000192600792</t>
  </si>
  <si>
    <t>000192600713</t>
  </si>
  <si>
    <t>APM00110302631</t>
  </si>
  <si>
    <t>FCNMM110300092</t>
  </si>
  <si>
    <t>SL7E1100500062</t>
  </si>
  <si>
    <t>000192600726</t>
  </si>
  <si>
    <t>000192600799</t>
  </si>
  <si>
    <t>Install 2011-11</t>
  </si>
  <si>
    <t>000192600794</t>
  </si>
  <si>
    <t>000192600758</t>
  </si>
  <si>
    <t>Toronto, Canada</t>
  </si>
  <si>
    <t>65592</t>
  </si>
  <si>
    <t>Install 2011-12 HDP</t>
  </si>
  <si>
    <t>000192604500</t>
  </si>
  <si>
    <t>MXOPE001R4500</t>
  </si>
  <si>
    <t>Install 2011-12</t>
  </si>
  <si>
    <t>MXOCE001R0565</t>
  </si>
  <si>
    <t>000192600791</t>
  </si>
  <si>
    <t>000192604708</t>
  </si>
  <si>
    <t>Install 2012-01</t>
  </si>
  <si>
    <t>000192600708</t>
  </si>
  <si>
    <t>000192604710</t>
  </si>
  <si>
    <t>000192600760</t>
  </si>
  <si>
    <t>000192600688</t>
  </si>
  <si>
    <t>Install 2012-03</t>
  </si>
  <si>
    <t>000192600749</t>
  </si>
  <si>
    <t>000192604682</t>
  </si>
  <si>
    <t>000192600780</t>
  </si>
  <si>
    <t>Oaks Field, Bahamas</t>
  </si>
  <si>
    <t>Switch
Count</t>
  </si>
  <si>
    <t>60-08-13-00/00</t>
  </si>
  <si>
    <t>000192604705</t>
  </si>
  <si>
    <t>Install 2012-04</t>
  </si>
  <si>
    <t>4.2.0-3881-0-0</t>
  </si>
  <si>
    <t>2.23.50.5.711</t>
  </si>
  <si>
    <t>Install 2012-05</t>
  </si>
  <si>
    <t>000192600898</t>
  </si>
  <si>
    <t>000192604951</t>
  </si>
  <si>
    <t>000192604742</t>
  </si>
  <si>
    <t>000192604768</t>
  </si>
  <si>
    <t>Install 2012-06</t>
  </si>
  <si>
    <t>000192605069</t>
  </si>
  <si>
    <t>000192605212</t>
  </si>
  <si>
    <t>000192604979</t>
  </si>
  <si>
    <t>000192600785</t>
  </si>
  <si>
    <t>000192604685</t>
  </si>
  <si>
    <t>000192605111</t>
  </si>
  <si>
    <t>000192605156</t>
  </si>
  <si>
    <t>APM00115000237</t>
  </si>
  <si>
    <t>USOMC020N0237</t>
  </si>
  <si>
    <t>EMC Clariion VNX7500</t>
  </si>
  <si>
    <t>APM00121003912</t>
  </si>
  <si>
    <t>USOMC021N3912</t>
  </si>
  <si>
    <t>APM00115000239</t>
  </si>
  <si>
    <t>USOMC022N0239</t>
  </si>
  <si>
    <t>APM00122101957</t>
  </si>
  <si>
    <t>USOMC023N1957</t>
  </si>
  <si>
    <t>Install 2012-07</t>
  </si>
  <si>
    <t>05.31.000.5.709</t>
  </si>
  <si>
    <t>APM00114803507</t>
  </si>
  <si>
    <t>USOGC028N3507</t>
  </si>
  <si>
    <t>APM00121003913</t>
  </si>
  <si>
    <t>USOGC029N3913</t>
  </si>
  <si>
    <t>APM00114803506</t>
  </si>
  <si>
    <t>USORC164N3506</t>
  </si>
  <si>
    <t>APM00115000238</t>
  </si>
  <si>
    <t>USORC165N0238</t>
  </si>
  <si>
    <t>APM00114803508</t>
  </si>
  <si>
    <t>USOUC041N3508</t>
  </si>
  <si>
    <t>APM00121003914</t>
  </si>
  <si>
    <t>USOUC042N3914</t>
  </si>
  <si>
    <t>000192605237</t>
  </si>
  <si>
    <t>USOME026N5237</t>
  </si>
  <si>
    <t>Install 2012-08</t>
  </si>
  <si>
    <t>000192605245</t>
  </si>
  <si>
    <t>USOGE010N5245</t>
  </si>
  <si>
    <t>APM00072000857</t>
  </si>
  <si>
    <t>CAOBC003N0857</t>
  </si>
  <si>
    <t>APM00121300552</t>
  </si>
  <si>
    <t>CAOBC005N0552</t>
  </si>
  <si>
    <t>3.26.80.5.031</t>
  </si>
  <si>
    <t>000192605103</t>
  </si>
  <si>
    <t>USOOE067R5103</t>
  </si>
  <si>
    <t>000192605241</t>
  </si>
  <si>
    <t>000192605091</t>
  </si>
  <si>
    <t>USOUE067R5091</t>
  </si>
  <si>
    <t>Totonto, Canada</t>
  </si>
  <si>
    <t>APM00072000858</t>
  </si>
  <si>
    <t>CAOTC021N0858</t>
  </si>
  <si>
    <t>Toronto</t>
  </si>
  <si>
    <t>APM00121200180</t>
  </si>
  <si>
    <t>CAOTC022N0180</t>
  </si>
  <si>
    <t>EMC Clariion VNX5700</t>
  </si>
  <si>
    <t>APM00112103392</t>
  </si>
  <si>
    <t>BSOOC001N3392</t>
  </si>
  <si>
    <t>Oaks Field</t>
  </si>
  <si>
    <t>04.28.000.5.707</t>
  </si>
  <si>
    <t>USOUH056N6776</t>
  </si>
  <si>
    <t>66776</t>
  </si>
  <si>
    <t>Install 2012-09 HDP</t>
  </si>
  <si>
    <t>000192605512</t>
  </si>
  <si>
    <t>USOUE069N5512</t>
  </si>
  <si>
    <t>Install 2012-10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</si>
  <si>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</si>
  <si>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67022</t>
  </si>
  <si>
    <t>USOUH057N7022</t>
  </si>
  <si>
    <t>MXOPE001R3245</t>
  </si>
  <si>
    <t>MXOPE002R4788</t>
  </si>
  <si>
    <t>MXOSE001R0589</t>
  </si>
  <si>
    <t>MXOCE001R3273</t>
  </si>
  <si>
    <t>MXOCE002R4120</t>
  </si>
  <si>
    <t>USOUE070N5528</t>
  </si>
  <si>
    <t>000192605528</t>
  </si>
  <si>
    <t>APM00120901079</t>
  </si>
  <si>
    <t>MXOPC001N1079</t>
  </si>
  <si>
    <t>EMC Clariion VNX5500</t>
  </si>
  <si>
    <t>Install 2012-12</t>
  </si>
  <si>
    <t>MXOPE006R3275</t>
  </si>
  <si>
    <t>000192605524</t>
  </si>
  <si>
    <t>USOME027N5524</t>
  </si>
  <si>
    <t>000192605736</t>
  </si>
  <si>
    <t>USOME071R5736</t>
  </si>
  <si>
    <t>Install 2013-01</t>
  </si>
  <si>
    <t>000192605798</t>
  </si>
  <si>
    <t>USOUE071R5798</t>
  </si>
  <si>
    <t>000192605487</t>
  </si>
  <si>
    <t>USOEE009N5487</t>
  </si>
  <si>
    <t>Install 2013-02</t>
  </si>
  <si>
    <t>000192605488</t>
  </si>
  <si>
    <t>USOME028N5488</t>
  </si>
  <si>
    <t>000192605835</t>
  </si>
  <si>
    <t>USOGE011N5835</t>
  </si>
  <si>
    <t>000192605803</t>
  </si>
  <si>
    <t>USORE007N5803</t>
  </si>
  <si>
    <t>FCNMM113900011</t>
  </si>
  <si>
    <t>MXOCC030N0011</t>
  </si>
  <si>
    <t>USOEE001N4419</t>
  </si>
  <si>
    <t>USOEE002N1786</t>
  </si>
  <si>
    <t>USOEE003R2531</t>
  </si>
  <si>
    <t>USOEE004N2810</t>
  </si>
  <si>
    <t>USOEE005N0260</t>
  </si>
  <si>
    <t>USOEE006N3107</t>
  </si>
  <si>
    <t>USOEE007N0736</t>
  </si>
  <si>
    <t>USOEE008N0688</t>
  </si>
  <si>
    <t>USOEE095R4992</t>
  </si>
  <si>
    <t>USOEE097N4944</t>
  </si>
  <si>
    <t>USOEE098R5169</t>
  </si>
  <si>
    <t>USOEH011N8661</t>
  </si>
  <si>
    <t>USOEH052N5064</t>
  </si>
  <si>
    <t>USOEH053N5075</t>
  </si>
  <si>
    <t>USOEC138N0120</t>
  </si>
  <si>
    <t>USOEC139N0050</t>
  </si>
  <si>
    <t>USOEC140N0057</t>
  </si>
  <si>
    <t>USOEC141N0190</t>
  </si>
  <si>
    <t>USOZC002N1584</t>
  </si>
  <si>
    <t>USOME001N3105</t>
  </si>
  <si>
    <t>USOME003N2071</t>
  </si>
  <si>
    <t>USOME004N4687</t>
  </si>
  <si>
    <t>USOME005N4686</t>
  </si>
  <si>
    <t>USOME006N5249</t>
  </si>
  <si>
    <t>USOME007N2212</t>
  </si>
  <si>
    <t>USOME008N2275</t>
  </si>
  <si>
    <t>USOME009R3346</t>
  </si>
  <si>
    <t>USOME010N3092</t>
  </si>
  <si>
    <t>USOME011N3826</t>
  </si>
  <si>
    <t>USOME012N3763</t>
  </si>
  <si>
    <t>USOME015R3975</t>
  </si>
  <si>
    <t>USOME016N3828</t>
  </si>
  <si>
    <t>USOME017N0726</t>
  </si>
  <si>
    <t>USOME018N0791</t>
  </si>
  <si>
    <t>USOME019N4708</t>
  </si>
  <si>
    <t>USOME020N4705</t>
  </si>
  <si>
    <t>USOME021R0749</t>
  </si>
  <si>
    <t>USOME022N0898</t>
  </si>
  <si>
    <t>USOME023N4951</t>
  </si>
  <si>
    <t>USOME025N5069</t>
  </si>
  <si>
    <t>USOME029R4688</t>
  </si>
  <si>
    <t>USOME037R4935</t>
  </si>
  <si>
    <t>USOME047R3117</t>
  </si>
  <si>
    <t>USOME052R3951</t>
  </si>
  <si>
    <t>USOME060R0799</t>
  </si>
  <si>
    <t>USOME065R5212</t>
  </si>
  <si>
    <t>USOME066R4979</t>
  </si>
  <si>
    <t>USOMH013N8555</t>
  </si>
  <si>
    <t>USOMH014N9044</t>
  </si>
  <si>
    <t>USOMH016N5289</t>
  </si>
  <si>
    <t>USOMC001N0005</t>
  </si>
  <si>
    <t>USOMC002N0006</t>
  </si>
  <si>
    <t>USOMC003N0196</t>
  </si>
  <si>
    <t>USOMC004N0063</t>
  </si>
  <si>
    <t>USOMC005N0004</t>
  </si>
  <si>
    <t>USOMC006N0071</t>
  </si>
  <si>
    <t>USOMC007N0109</t>
  </si>
  <si>
    <t>USOMC009N0002</t>
  </si>
  <si>
    <t>USOMC010N0003</t>
  </si>
  <si>
    <t>USOMC011N0111</t>
  </si>
  <si>
    <t>USOMC011N0197</t>
  </si>
  <si>
    <t>USOMC012N0080</t>
  </si>
  <si>
    <t>USOMC013N0242</t>
  </si>
  <si>
    <t>USOMC014N0084</t>
  </si>
  <si>
    <t>USOMC015N0093</t>
  </si>
  <si>
    <t>USOMC016N0081</t>
  </si>
  <si>
    <t>USOMC017N0111</t>
  </si>
  <si>
    <t>USOMC018N0088</t>
  </si>
  <si>
    <t>USOMC019N0861</t>
  </si>
  <si>
    <t>USOMT006R2156</t>
  </si>
  <si>
    <t>USOGE001N3715</t>
  </si>
  <si>
    <t>USOGE002N3986</t>
  </si>
  <si>
    <t>USOGE003N3929</t>
  </si>
  <si>
    <t>USOGE004N2179</t>
  </si>
  <si>
    <t>USOGE005N2079</t>
  </si>
  <si>
    <t>USOGE006R3525</t>
  </si>
  <si>
    <t>USOGE007N0758</t>
  </si>
  <si>
    <t>USOGE008N0785</t>
  </si>
  <si>
    <t>USOGE009R3267</t>
  </si>
  <si>
    <t>USOGE015R3856</t>
  </si>
  <si>
    <t>USOGE021R4682</t>
  </si>
  <si>
    <t>USOGE054R3668</t>
  </si>
  <si>
    <t>USOGC003N0022</t>
  </si>
  <si>
    <t>USOGC004N0024</t>
  </si>
  <si>
    <t>USOGC005N0021</t>
  </si>
  <si>
    <t>USOGC006N0062</t>
  </si>
  <si>
    <t>USOGC007N0112</t>
  </si>
  <si>
    <t>USOGC008N0116</t>
  </si>
  <si>
    <t>USOGC009N0020</t>
  </si>
  <si>
    <t>USOGC010N0028</t>
  </si>
  <si>
    <t>USOGC011N0079</t>
  </si>
  <si>
    <t>USOGC012N0029</t>
  </si>
  <si>
    <t>USOGC013N0357</t>
  </si>
  <si>
    <t>USOGC014N0029</t>
  </si>
  <si>
    <t>USOGC015N0005</t>
  </si>
  <si>
    <t>USOGC016N0078</t>
  </si>
  <si>
    <t>USOGC017N0014</t>
  </si>
  <si>
    <t>USOGC018N0092</t>
  </si>
  <si>
    <t>USOGC019N0009</t>
  </si>
  <si>
    <t>USOGC020N0009</t>
  </si>
  <si>
    <t>USOGC021N0089</t>
  </si>
  <si>
    <t>USOGC022N0016</t>
  </si>
  <si>
    <t>USOGC023N0040</t>
  </si>
  <si>
    <t>USOGC024N0094</t>
  </si>
  <si>
    <t>USOGC025N0096</t>
  </si>
  <si>
    <t>USOGC026N0077</t>
  </si>
  <si>
    <t>USOGC027N0397</t>
  </si>
  <si>
    <t>USOJE001N0205</t>
  </si>
  <si>
    <t>USOJC001N0915</t>
  </si>
  <si>
    <t>USOJC002N1293</t>
  </si>
  <si>
    <t>USOJC003N0462</t>
  </si>
  <si>
    <t>USOJC007N2269</t>
  </si>
  <si>
    <t>CAOLC001N0921</t>
  </si>
  <si>
    <t>CAOLC002N0208</t>
  </si>
  <si>
    <t>CAOBC001N4380</t>
  </si>
  <si>
    <t>USONC002N0986</t>
  </si>
  <si>
    <t>USOOE003N2193</t>
  </si>
  <si>
    <t>USOOE004N3810</t>
  </si>
  <si>
    <t>USOOE005N0760</t>
  </si>
  <si>
    <t>USOOE036R2064</t>
  </si>
  <si>
    <t>USORE001N1748</t>
  </si>
  <si>
    <t>USORE002N2581</t>
  </si>
  <si>
    <t>USORE003R2528</t>
  </si>
  <si>
    <t>USORE004N3129</t>
  </si>
  <si>
    <t>USORE005N0792</t>
  </si>
  <si>
    <t>USORE006N0708</t>
  </si>
  <si>
    <t>USORE048R3114</t>
  </si>
  <si>
    <t>USORE093N3369</t>
  </si>
  <si>
    <t>USORE095R3498</t>
  </si>
  <si>
    <t>USORE096N5174</t>
  </si>
  <si>
    <t>USORE098R5196</t>
  </si>
  <si>
    <t>USORE099N4736</t>
  </si>
  <si>
    <t>USORH052N5029</t>
  </si>
  <si>
    <t>USORH053N5037</t>
  </si>
  <si>
    <t>USORC141N0061</t>
  </si>
  <si>
    <t>USORC142N0065</t>
  </si>
  <si>
    <t>USORC143N0064</t>
  </si>
  <si>
    <t>USORC144N0055</t>
  </si>
  <si>
    <t>USORC145N0066</t>
  </si>
  <si>
    <t>USORC146N0070</t>
  </si>
  <si>
    <t>USORC147N0057</t>
  </si>
  <si>
    <t>USORC148N0059</t>
  </si>
  <si>
    <t>USORC149N0053</t>
  </si>
  <si>
    <t>USORC150N0060</t>
  </si>
  <si>
    <t>USORC151N1231</t>
  </si>
  <si>
    <t>USORC152N0026</t>
  </si>
  <si>
    <t>USORC153N0098</t>
  </si>
  <si>
    <t>USORC154N0049</t>
  </si>
  <si>
    <t>USORC155N0093</t>
  </si>
  <si>
    <t>USORC156N0029</t>
  </si>
  <si>
    <t>USORC157N0059</t>
  </si>
  <si>
    <t>USORC158N0132</t>
  </si>
  <si>
    <t>USORC159N0008</t>
  </si>
  <si>
    <t>USORC160N0057</t>
  </si>
  <si>
    <t>USORC161N0055</t>
  </si>
  <si>
    <t>USORC162N1987</t>
  </si>
  <si>
    <t>USORC163N1224</t>
  </si>
  <si>
    <t>USOUE024N4087</t>
  </si>
  <si>
    <t>USOUE025N3851</t>
  </si>
  <si>
    <t>USOUE026N2437</t>
  </si>
  <si>
    <t>USOUE029R4771</t>
  </si>
  <si>
    <t>USOUE030N4867</t>
  </si>
  <si>
    <t>USOUE034N5219</t>
  </si>
  <si>
    <t>USOUE035N4244</t>
  </si>
  <si>
    <t>USOUE036R5291</t>
  </si>
  <si>
    <t>USOUE037R5255</t>
  </si>
  <si>
    <t>USOUE039N1407</t>
  </si>
  <si>
    <t>USOUE040N1795</t>
  </si>
  <si>
    <t>USOUE041N1796</t>
  </si>
  <si>
    <t>USOUE042N2916</t>
  </si>
  <si>
    <t>USOUE045R2277</t>
  </si>
  <si>
    <t>USOUE046R2273</t>
  </si>
  <si>
    <t>USOUE047R3065</t>
  </si>
  <si>
    <t>USOUE048R3116</t>
  </si>
  <si>
    <t>USOUE049N3779</t>
  </si>
  <si>
    <t>USOUE050N3337</t>
  </si>
  <si>
    <t>USOUE051R2605</t>
  </si>
  <si>
    <t>USOUE052R3956</t>
  </si>
  <si>
    <t>USOUE053N3662</t>
  </si>
  <si>
    <t>USOUE055N4449</t>
  </si>
  <si>
    <t>USOUE056N0425</t>
  </si>
  <si>
    <t>USOUE057N3336</t>
  </si>
  <si>
    <t>USOUE058N0780</t>
  </si>
  <si>
    <t>USOUE059N0713</t>
  </si>
  <si>
    <t>USOUE059R4182</t>
  </si>
  <si>
    <t>USOUE060R0794</t>
  </si>
  <si>
    <t>USOUE061N4710</t>
  </si>
  <si>
    <t>USOUE062N4742</t>
  </si>
  <si>
    <t>USOUE063N4685</t>
  </si>
  <si>
    <t>USOUE064N4768</t>
  </si>
  <si>
    <t>USOUE065R5111</t>
  </si>
  <si>
    <t>USOUE066R5156</t>
  </si>
  <si>
    <t>USOUE068N5241</t>
  </si>
  <si>
    <t>USOUH027N8666</t>
  </si>
  <si>
    <t>USOUH028N8667</t>
  </si>
  <si>
    <t>USOUH032N8392</t>
  </si>
  <si>
    <t>USOUH033N8425</t>
  </si>
  <si>
    <t>USOUH042N8896</t>
  </si>
  <si>
    <t>USOUH044N9131</t>
  </si>
  <si>
    <t>USOUH052N3562</t>
  </si>
  <si>
    <t>USOUH053N3758</t>
  </si>
  <si>
    <t>USOUH054N5389</t>
  </si>
  <si>
    <t>USOUH055N5592</t>
  </si>
  <si>
    <t>USOUC004N2873</t>
  </si>
  <si>
    <t>USOUC016N2371</t>
  </si>
  <si>
    <t>USOUC022N0076</t>
  </si>
  <si>
    <t>USOUC023N2078</t>
  </si>
  <si>
    <t>USOUC024N2083</t>
  </si>
  <si>
    <t>USOUC025N2106</t>
  </si>
  <si>
    <t>USOUC026N0016</t>
  </si>
  <si>
    <t>USOUC027N0019</t>
  </si>
  <si>
    <t>USOUC028N0082</t>
  </si>
  <si>
    <t>USOUC029N0025</t>
  </si>
  <si>
    <t>USOUC030N0015</t>
  </si>
  <si>
    <t>USOUC031N0026</t>
  </si>
  <si>
    <t>USOUC033N1737</t>
  </si>
  <si>
    <t>USOUC035N0002</t>
  </si>
  <si>
    <t>USOUC036N0023</t>
  </si>
  <si>
    <t>USOUC037N0241</t>
  </si>
  <si>
    <t>USOUC038N2631</t>
  </si>
  <si>
    <t>USOUC039N0216</t>
  </si>
  <si>
    <t>USOUC040N0095</t>
  </si>
  <si>
    <t>USOUT006R0278</t>
  </si>
  <si>
    <t>USODC004N0267</t>
  </si>
  <si>
    <t>AROVC001N0286</t>
  </si>
  <si>
    <t>AROVC002N0028</t>
  </si>
  <si>
    <t>AROVC003N0092</t>
  </si>
  <si>
    <t>BROSC110N0135</t>
  </si>
  <si>
    <t>BROSC111N0043</t>
  </si>
  <si>
    <t>BROSC112N0045</t>
  </si>
  <si>
    <t>BROSC113N0062</t>
  </si>
  <si>
    <t>COOBC220N0052</t>
  </si>
  <si>
    <t>COOBC221N0001</t>
  </si>
  <si>
    <t>MXOCC331N0008</t>
  </si>
  <si>
    <t>MXOCC332N0276</t>
  </si>
  <si>
    <t>MXOCC333N0001</t>
  </si>
  <si>
    <t>MXOCC334N0003</t>
  </si>
  <si>
    <t>MXOCC335N0123</t>
  </si>
  <si>
    <t>MXOCC336N0019</t>
  </si>
  <si>
    <t>MXOCC337N0118</t>
  </si>
  <si>
    <t>MXOCC338N0289</t>
  </si>
  <si>
    <t>MXOCC339N0116</t>
  </si>
  <si>
    <t>MXOCC340N0527</t>
  </si>
  <si>
    <t>Install 2013-04</t>
  </si>
  <si>
    <t>Install 2013-04 (from SSMD)</t>
  </si>
  <si>
    <t>USOME028N0857</t>
  </si>
  <si>
    <t>000295700335</t>
  </si>
  <si>
    <t>USOME030N0335</t>
  </si>
  <si>
    <t>000295700259</t>
  </si>
  <si>
    <t>USOME031N0259</t>
  </si>
  <si>
    <t>EMC Symmetrix VMAX40K</t>
  </si>
  <si>
    <t>93136</t>
  </si>
  <si>
    <t>USOMH017N3136</t>
  </si>
  <si>
    <t>000295700300</t>
  </si>
  <si>
    <t>USOUE072N0300</t>
  </si>
  <si>
    <t>000295700285</t>
  </si>
  <si>
    <t>USOUE073N0285</t>
  </si>
  <si>
    <t>000195701397</t>
  </si>
  <si>
    <t>USOGE012N1397</t>
  </si>
  <si>
    <t>000195701411</t>
  </si>
  <si>
    <t>USOGE013N1411</t>
  </si>
  <si>
    <t>Install 2013-05</t>
  </si>
  <si>
    <t>000195701369</t>
  </si>
  <si>
    <t>USOUE078N1369</t>
  </si>
  <si>
    <t>93460</t>
  </si>
  <si>
    <t>USOUH058N3460</t>
  </si>
  <si>
    <t>Install 2013-05 HDP</t>
  </si>
  <si>
    <t>Install 2013-06</t>
  </si>
  <si>
    <t>000195701332</t>
  </si>
  <si>
    <t>000195701347</t>
  </si>
  <si>
    <t>000195701349</t>
  </si>
  <si>
    <t>000195701368</t>
  </si>
  <si>
    <t>000195701425</t>
  </si>
  <si>
    <t>USOME032N1332</t>
  </si>
  <si>
    <t>USOME033N1347</t>
  </si>
  <si>
    <t>USOME034N1349</t>
  </si>
  <si>
    <t>USOME035N1368</t>
  </si>
  <si>
    <t>USOME036N1425</t>
  </si>
  <si>
    <t>000295700262</t>
  </si>
  <si>
    <t>USORE008N0262</t>
  </si>
  <si>
    <t>000195701404</t>
  </si>
  <si>
    <t>USORE009N1404</t>
  </si>
  <si>
    <t>000195701263</t>
  </si>
  <si>
    <t>000195701321</t>
  </si>
  <si>
    <t>000195701361</t>
  </si>
  <si>
    <t>000195701365</t>
  </si>
  <si>
    <t>USOUE075N1263</t>
  </si>
  <si>
    <t>USOUE074N1321</t>
  </si>
  <si>
    <t>USOUE076N1361</t>
  </si>
  <si>
    <t>USOUE077N1365</t>
  </si>
  <si>
    <t>000195701406</t>
  </si>
  <si>
    <t>000295700298</t>
  </si>
  <si>
    <t>USOEE011N1406</t>
  </si>
  <si>
    <t>USOEE010N0298</t>
  </si>
  <si>
    <t>5773.184</t>
  </si>
  <si>
    <t>5875.249</t>
  </si>
  <si>
    <t>5876.163</t>
  </si>
  <si>
    <t>5875.269</t>
  </si>
  <si>
    <t>5876.159</t>
  </si>
  <si>
    <t>5875.267</t>
  </si>
  <si>
    <t>5773.168</t>
  </si>
  <si>
    <t>5773.176</t>
  </si>
  <si>
    <t>70-05-17-00/00</t>
  </si>
  <si>
    <t>000195701595</t>
  </si>
  <si>
    <t>USOME038N1595</t>
  </si>
  <si>
    <t>Install 2013-07</t>
  </si>
  <si>
    <t>000195701427</t>
  </si>
  <si>
    <t>USOGE014N1427</t>
  </si>
  <si>
    <t>000195701466</t>
  </si>
  <si>
    <t>MXOPE003N1466</t>
  </si>
  <si>
    <t>Citigroup Distributed Storage Inventory Report for August 2013 (from ECC)</t>
  </si>
  <si>
    <t>Citigroup Distributed Storage Capacity Report for August 2013</t>
  </si>
  <si>
    <t>Decomm 2013-08</t>
  </si>
  <si>
    <t>05.32.000.5.015</t>
  </si>
  <si>
    <t>APM00130310980</t>
  </si>
  <si>
    <t>USOMC024N0980</t>
  </si>
  <si>
    <t>000195701553</t>
  </si>
  <si>
    <t>USOUE079N1553</t>
  </si>
  <si>
    <t>Install 2013-08</t>
  </si>
  <si>
    <t>93081</t>
  </si>
  <si>
    <t>USOUH059N3081</t>
  </si>
  <si>
    <t>93341</t>
  </si>
  <si>
    <t>USOUH060N3341</t>
  </si>
  <si>
    <t>93454</t>
  </si>
  <si>
    <t>USOUH061N3454</t>
  </si>
  <si>
    <t>APM00130310976</t>
  </si>
  <si>
    <t>USOUC043N0976</t>
  </si>
  <si>
    <t>05.32.000.5.011</t>
  </si>
  <si>
    <t>000195701506</t>
  </si>
  <si>
    <t>MXOPE004N1506</t>
  </si>
  <si>
    <t>cmdscgc1-ct-01</t>
  </si>
  <si>
    <t>5.2.1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</si>
  <si>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</si>
  <si>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</si>
  <si>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</si>
  <si>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</si>
  <si>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</si>
  <si>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</si>
  <si>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</si>
  <si>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</si>
  <si>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</si>
  <si>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</si>
  <si>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</si>
  <si>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</si>
  <si>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</si>
  <si>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</si>
  <si>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</si>
  <si>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</si>
  <si>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</si>
  <si>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</si>
  <si>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</si>
  <si>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</si>
  <si>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</si>
  <si>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</si>
  <si>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</si>
  <si>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</si>
  <si>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5.2.2a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</si>
  <si>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</si>
  <si>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</si>
  <si>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</si>
  <si>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</si>
  <si>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</si>
  <si>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</si>
  <si>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</si>
  <si>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</si>
  <si>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</si>
  <si>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</si>
  <si>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</si>
  <si>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</si>
  <si>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</si>
  <si>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</si>
  <si>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</si>
  <si>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</si>
  <si>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</si>
  <si>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</si>
  <si>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Core SRDF McData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</si>
  <si>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</si>
  <si>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</si>
  <si>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</si>
  <si>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</si>
  <si>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</si>
  <si>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</si>
  <si>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</si>
  <si>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</si>
  <si>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</si>
  <si>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</si>
  <si>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</si>
  <si>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</si>
  <si>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</si>
  <si>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</si>
  <si>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</si>
  <si>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</si>
  <si>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</si>
  <si>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</si>
  <si>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</si>
  <si>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</si>
  <si>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</si>
  <si>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</si>
  <si>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</si>
  <si>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</si>
  <si>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</si>
  <si>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</si>
  <si>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</si>
  <si>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</si>
  <si>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</si>
  <si>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</si>
  <si>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</si>
  <si>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</si>
  <si>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</si>
  <si>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</si>
  <si>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</si>
  <si>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</si>
  <si>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</si>
  <si>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</si>
  <si>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</si>
  <si>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</si>
  <si>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</si>
  <si>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</si>
  <si>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</si>
  <si>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</si>
  <si>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</si>
  <si>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</si>
  <si>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</si>
  <si>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</si>
  <si>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</si>
  <si>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</si>
  <si>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</si>
  <si>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</si>
  <si>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</si>
  <si>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</si>
  <si>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</si>
  <si>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</si>
  <si>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</si>
  <si>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</si>
  <si>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</si>
  <si>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</si>
  <si>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</si>
  <si>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</si>
  <si>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</si>
  <si>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</si>
  <si>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</si>
  <si>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</si>
  <si>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</si>
  <si>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</si>
  <si>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</si>
  <si>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</si>
  <si>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</si>
  <si>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</si>
  <si>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</si>
  <si>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</si>
  <si>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</si>
  <si>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</si>
  <si>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</si>
  <si>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</si>
  <si>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</si>
  <si>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</si>
  <si>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</si>
  <si>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</si>
  <si>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</si>
  <si>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</si>
  <si>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</si>
  <si>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</si>
  <si>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</si>
  <si>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</si>
  <si>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</si>
  <si>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</si>
  <si>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</si>
  <si>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</si>
  <si>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</si>
  <si>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</si>
  <si>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</si>
  <si>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</si>
  <si>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</si>
  <si>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</si>
  <si>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</si>
  <si>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</si>
  <si>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</si>
  <si>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</si>
  <si>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</si>
  <si>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</si>
  <si>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</si>
  <si>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</si>
  <si>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</si>
  <si>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</si>
  <si>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</si>
  <si>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</si>
  <si>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</si>
  <si>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</si>
  <si>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</si>
  <si>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</si>
  <si>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</si>
  <si>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</si>
  <si>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</si>
  <si>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</si>
  <si>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</si>
  <si>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</si>
  <si>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</si>
  <si>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</si>
  <si>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</si>
  <si>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</si>
  <si>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</si>
  <si>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</si>
  <si>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</si>
  <si>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</si>
  <si>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</si>
  <si>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</si>
  <si>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</si>
  <si>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</si>
  <si>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</si>
  <si>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</si>
  <si>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</si>
  <si>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</si>
  <si>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</si>
  <si>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</si>
  <si>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</si>
  <si>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</si>
  <si>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</si>
  <si>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</si>
  <si>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 xml:space="preserve">DELCD01AE16 </t>
  </si>
  <si>
    <t xml:space="preserve">FOX1643S004 </t>
  </si>
  <si>
    <t xml:space="preserve">DELCD01BE16    </t>
  </si>
  <si>
    <t xml:space="preserve">FOX1639S32M 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</si>
  <si>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</si>
  <si>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</si>
  <si>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</si>
  <si>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</si>
  <si>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</si>
  <si>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</si>
  <si>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</si>
  <si>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</si>
  <si>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</si>
  <si>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</si>
  <si>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</si>
  <si>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</si>
  <si>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</si>
  <si>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</si>
  <si>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</si>
  <si>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</si>
  <si>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</si>
  <si>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</si>
  <si>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</si>
  <si>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</si>
  <si>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</si>
  <si>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</si>
  <si>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</si>
  <si>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</si>
  <si>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</si>
  <si>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</si>
  <si>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</si>
  <si>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</si>
  <si>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</si>
  <si>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</si>
  <si>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</si>
  <si>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</si>
  <si>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</si>
  <si>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</si>
  <si>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</si>
  <si>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</si>
  <si>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</si>
  <si>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</si>
  <si>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</si>
  <si>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</si>
  <si>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</si>
  <si>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</si>
  <si>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</si>
  <si>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</si>
  <si>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</si>
  <si>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Cisco 9124</t>
  </si>
  <si>
    <t>FOX1511H7YQ</t>
  </si>
  <si>
    <t>cmdsblw-dg-01</t>
  </si>
  <si>
    <t>FOX1511H81U</t>
  </si>
  <si>
    <t>cmdsblwg_jd_01</t>
  </si>
  <si>
    <t>Cisco 9506</t>
  </si>
  <si>
    <t>FOX1638GFWR</t>
  </si>
  <si>
    <t>cmdsblwg_rb_01</t>
  </si>
  <si>
    <t>FOX1638GFWH</t>
  </si>
  <si>
    <t>cmdsclt-ct-01</t>
  </si>
  <si>
    <t xml:space="preserve">FOX1511H7YK </t>
  </si>
  <si>
    <t>cmdsclt-dg-01</t>
  </si>
  <si>
    <t>FOX1511H7WD</t>
  </si>
  <si>
    <t>cmdscolt_jd_01</t>
  </si>
  <si>
    <t>FOX1638GFW7</t>
  </si>
  <si>
    <t>cmdscolt_rb_01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</si>
  <si>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</si>
  <si>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</si>
  <si>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</si>
  <si>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</si>
  <si>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</si>
  <si>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</si>
  <si>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</si>
  <si>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</si>
  <si>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 xml:space="preserve">FOX1252G2SP </t>
  </si>
  <si>
    <t>Citigroup Centre DC</t>
  </si>
  <si>
    <t>Riverdale DC</t>
  </si>
  <si>
    <t>Frankfurt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</si>
  <si>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</si>
  <si>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</si>
  <si>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</si>
  <si>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</si>
  <si>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</si>
  <si>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</si>
  <si>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</si>
  <si>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</si>
  <si>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</si>
  <si>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Citigroup Distributed Fibre Switch Capacity Report (EMEA) for Jan 2014</t>
  </si>
  <si>
    <t>Citigroup Distributed Fibre Switch Inventory (EMEA) for Jan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</si>
</sst>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71" formatCode="_-* #,##0.00_-;\-* #,##0.00_-;_-* &quot;-&quot;??_-;_-@_-"/>
    <numFmt numFmtId="172" formatCode="&quot;$&quot;#,##0\ ;\(&quot;$&quot;#,##0\);"/>
    <numFmt numFmtId="173" formatCode="&quot;£&quot;#,##0.00;[Red]\-&quot;&quot;\£&quot;&quot;#,##0.00"/>
    <numFmt numFmtId="174" formatCode="0000\-0000"/>
    <numFmt numFmtId="175" formatCode="0000\-00\-00"/>
    <numFmt numFmtId="176" formatCode="m/dd/yy\ \-\ h:mm\ AM/PM"/>
    <numFmt numFmtId="177" formatCode="#,##0_);\(#,##0\);\-"/>
    <numFmt numFmtId="178" formatCode="0.0%;[Red]\(0.0%\);\-\ "/>
    <numFmt numFmtId="179" formatCode="#,###.0;\(#,###.0\);\-"/>
    <numFmt numFmtId="180" formatCode="0.000_)"/>
    <numFmt numFmtId="181" formatCode="#,##0_-;[Red]\(#,##0\);&quot;-  &quot;"/>
    <numFmt numFmtId="182" formatCode="#,##0_-;\(#,##0\);&quot; - &quot;"/>
    <numFmt numFmtId="183" formatCode="General_)"/>
    <numFmt numFmtId="184" formatCode="0.0000000000000000%"/>
    <numFmt numFmtId="185" formatCode="#,##0,,_-;[Red]\(#,##0,,\);&quot;-  &quot;"/>
    <numFmt numFmtId="186" formatCode="#,##0.0;\(#,##0.0\);&quot;- &quot;"/>
    <numFmt numFmtId="187" formatCode="#,##0.0,,_-;[Red]\(#,##0.0,,\);&quot;-  &quot;"/>
    <numFmt numFmtId="188" formatCode="_-[$€-2]* #,##0.00_-;\-[$€-2]* #,##0.00_-;_-[$€-2]* &quot;-&quot;??_-"/>
    <numFmt numFmtId="189" formatCode="#,##0.0000;\(#,##0.0000\);&quot;- &quot;"/>
    <numFmt numFmtId="190" formatCode="#,##0.0_-;\(#,##0.0\);&quot;-  &quot;"/>
    <numFmt numFmtId="191" formatCode="0.00_)"/>
    <numFmt numFmtId="192" formatCode="#,##0.00%;[Red]\(#,##0.00%\)"/>
    <numFmt numFmtId="193" formatCode="0_);\(0\)"/>
    <numFmt numFmtId="194" formatCode="#,##0&quot;   &quot;;[Red]\-#,##0&quot;   &quot;"/>
    <numFmt numFmtId="195" formatCode="mm/dd/yy"/>
    <numFmt numFmtId="196" formatCode="#,###.0\ ;\(#,###.0\);\ \-\ \ "/>
    <numFmt numFmtId="197" formatCode="#,##0.0\ ;\(#,##0.0\)"/>
    <numFmt numFmtId="198" formatCode="&quot;\&quot;#,##0.00;[Red]&quot;\&quot;\-#,##0.00"/>
    <numFmt numFmtId="199" formatCode="&quot;\&quot;#,##0;[Red]&quot;\&quot;\-#,##0"/>
  </numFmts>
  <fonts count="9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4"/>
      <color indexed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theme="0"/>
      <name val="Arial"/>
      <family val="2"/>
    </font>
    <font>
      <sz val="10"/>
      <name val="Arial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500">
    <xf numFmtId="0" fontId="0" fillId="0" borderId="0"/>
    <xf numFmtId="0" fontId="11" fillId="0" borderId="0"/>
    <xf numFmtId="0" fontId="9" fillId="0" borderId="0"/>
    <xf numFmtId="0" fontId="9" fillId="0" borderId="0"/>
    <xf numFmtId="9" fontId="18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9" fillId="0" borderId="0"/>
    <xf numFmtId="165" fontId="20" fillId="0" borderId="0"/>
    <xf numFmtId="165" fontId="1" fillId="0" borderId="0"/>
    <xf numFmtId="165" fontId="1" fillId="0" borderId="0"/>
    <xf numFmtId="165" fontId="20" fillId="0" borderId="0"/>
    <xf numFmtId="165" fontId="1" fillId="0" borderId="0"/>
    <xf numFmtId="165" fontId="20" fillId="0" borderId="0"/>
    <xf numFmtId="165" fontId="2" fillId="0" borderId="0"/>
    <xf numFmtId="165" fontId="20" fillId="0" borderId="0"/>
    <xf numFmtId="165" fontId="20" fillId="0" borderId="0"/>
    <xf numFmtId="165" fontId="20" fillId="0" borderId="0"/>
    <xf numFmtId="165" fontId="1" fillId="0" borderId="0"/>
    <xf numFmtId="165" fontId="20" fillId="0" borderId="0"/>
    <xf numFmtId="165" fontId="1" fillId="0" borderId="0"/>
    <xf numFmtId="165" fontId="1" fillId="0" borderId="0"/>
    <xf numFmtId="165" fontId="20" fillId="0" borderId="0"/>
    <xf numFmtId="165" fontId="20" fillId="0" borderId="0"/>
    <xf numFmtId="165" fontId="20" fillId="0" borderId="0"/>
    <xf numFmtId="165" fontId="20" fillId="0" borderId="0"/>
    <xf numFmtId="171" fontId="2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0" fillId="0" borderId="0"/>
    <xf numFmtId="165" fontId="1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0" fillId="0" borderId="0"/>
    <xf numFmtId="165" fontId="20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0" fillId="0" borderId="0"/>
    <xf numFmtId="165" fontId="1" fillId="0" borderId="0"/>
    <xf numFmtId="165" fontId="2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2" fillId="0" borderId="0"/>
    <xf numFmtId="165" fontId="20" fillId="0" borderId="0"/>
    <xf numFmtId="0" fontId="1" fillId="0" borderId="0"/>
    <xf numFmtId="0" fontId="1" fillId="0" borderId="0"/>
    <xf numFmtId="165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9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72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29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30" fillId="0" borderId="0"/>
    <xf numFmtId="0" fontId="11" fillId="0" borderId="0"/>
    <xf numFmtId="0" fontId="28" fillId="0" borderId="0"/>
    <xf numFmtId="0" fontId="29" fillId="0" borderId="0"/>
    <xf numFmtId="0" fontId="29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" fillId="0" borderId="0"/>
    <xf numFmtId="0" fontId="27" fillId="25" borderId="0" applyNumberFormat="0" applyBorder="0" applyAlignment="0" applyProtection="0"/>
    <xf numFmtId="0" fontId="34" fillId="26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7" borderId="0" applyNumberFormat="0" applyBorder="0" applyAlignment="0" applyProtection="0"/>
    <xf numFmtId="0" fontId="34" fillId="1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34" fillId="1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4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34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42" fontId="9" fillId="0" borderId="0" applyFont="0" applyFill="0" applyBorder="0" applyAlignment="0" applyProtection="0"/>
    <xf numFmtId="0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7" fillId="32" borderId="0" applyNumberFormat="0" applyBorder="0" applyAlignment="0" applyProtection="0"/>
    <xf numFmtId="0" fontId="34" fillId="26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34" fillId="19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29" borderId="0" applyNumberFormat="0" applyBorder="0" applyAlignment="0" applyProtection="0"/>
    <xf numFmtId="0" fontId="34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34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5" borderId="0" applyNumberFormat="0" applyBorder="0" applyAlignment="0" applyProtection="0"/>
    <xf numFmtId="0" fontId="34" fillId="3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35" fillId="37" borderId="0" applyNumberFormat="0" applyBorder="0" applyAlignment="0" applyProtection="0"/>
    <xf numFmtId="0" fontId="36" fillId="38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3" borderId="0" applyNumberFormat="0" applyBorder="0" applyAlignment="0" applyProtection="0"/>
    <xf numFmtId="0" fontId="36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36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9" borderId="0" applyNumberFormat="0" applyBorder="0" applyAlignment="0" applyProtection="0"/>
    <xf numFmtId="0" fontId="36" fillId="26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8" borderId="0" applyNumberFormat="0" applyBorder="0" applyAlignment="0" applyProtection="0"/>
    <xf numFmtId="0" fontId="36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40" borderId="0" applyNumberFormat="0" applyBorder="0" applyAlignment="0" applyProtection="0"/>
    <xf numFmtId="0" fontId="36" fillId="22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7" fillId="0" borderId="37" applyBorder="0"/>
    <xf numFmtId="0" fontId="35" fillId="41" borderId="0" applyNumberFormat="0" applyBorder="0" applyAlignment="0" applyProtection="0"/>
    <xf numFmtId="0" fontId="36" fillId="38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9" borderId="0" applyNumberFormat="0" applyBorder="0" applyAlignment="0" applyProtection="0"/>
    <xf numFmtId="0" fontId="36" fillId="2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>
      <alignment horizontal="center" wrapText="1"/>
      <protection locked="0"/>
    </xf>
    <xf numFmtId="37" fontId="40" fillId="0" borderId="0"/>
    <xf numFmtId="0" fontId="41" fillId="27" borderId="0" applyNumberFormat="0" applyBorder="0" applyAlignment="0" applyProtection="0"/>
    <xf numFmtId="0" fontId="42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36" applyAlignment="0" applyProtection="0"/>
    <xf numFmtId="0" fontId="45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73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5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6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7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7" fillId="15" borderId="32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0" fontId="46" fillId="26" borderId="50" applyNumberFormat="0" applyAlignment="0" applyProtection="0"/>
    <xf numFmtId="171" fontId="2" fillId="0" borderId="0" applyBorder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8" fillId="45" borderId="51" applyNumberFormat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8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1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43" fontId="27" fillId="0" borderId="0" applyFont="0" applyFill="0" applyBorder="0" applyAlignment="0" applyProtection="0"/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43" fontId="2" fillId="0" borderId="0" applyFont="0" applyFill="0" applyBorder="0" applyAlignment="0" applyProtection="0"/>
    <xf numFmtId="43" fontId="50" fillId="0" borderId="0" applyFont="0" applyFill="0" applyBorder="0" applyAlignment="0" applyProtection="0"/>
    <xf numFmtId="183" fontId="51" fillId="0" borderId="52"/>
    <xf numFmtId="3" fontId="52" fillId="0" borderId="0" applyFont="0" applyFill="0" applyBorder="0" applyAlignment="0" applyProtection="0"/>
    <xf numFmtId="0" fontId="53" fillId="0" borderId="0" applyNumberFormat="0" applyAlignment="0">
      <alignment horizontal="lef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2" fillId="0" borderId="0" applyFont="0" applyFill="0" applyBorder="0" applyAlignment="0" applyProtection="0">
      <alignment horizontal="right"/>
    </xf>
    <xf numFmtId="185" fontId="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49" fontId="10" fillId="0" borderId="0" applyNumberFormat="0" applyFill="0" applyBorder="0" applyAlignment="0" applyProtection="0">
      <alignment horizontal="left"/>
    </xf>
    <xf numFmtId="0" fontId="52" fillId="0" borderId="0" applyFont="0" applyFill="0" applyBorder="0" applyAlignment="0" applyProtection="0"/>
    <xf numFmtId="186" fontId="2" fillId="0" borderId="0" applyFont="0" applyFill="0" applyBorder="0" applyAlignment="0" applyProtection="0"/>
    <xf numFmtId="14" fontId="19" fillId="0" borderId="0" applyFill="0" applyBorder="0" applyAlignment="0"/>
    <xf numFmtId="0" fontId="54" fillId="0" borderId="0" applyNumberFormat="0" applyFont="0" applyFill="0" applyBorder="0" applyAlignment="0" applyProtection="0"/>
    <xf numFmtId="2" fontId="55" fillId="0" borderId="0"/>
    <xf numFmtId="187" fontId="2" fillId="0" borderId="53" applyNumberFormat="0" applyFont="0" applyFill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6" fillId="0" borderId="0" applyNumberFormat="0" applyAlignment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2" fontId="5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39" fillId="0" borderId="0" applyFill="0" applyBorder="0" applyProtection="0">
      <alignment horizontal="left"/>
    </xf>
    <xf numFmtId="0" fontId="59" fillId="28" borderId="0" applyNumberFormat="0" applyBorder="0" applyAlignment="0" applyProtection="0"/>
    <xf numFmtId="0" fontId="60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38" fontId="10" fillId="2" borderId="0" applyNumberFormat="0" applyBorder="0" applyAlignment="0" applyProtection="0"/>
    <xf numFmtId="189" fontId="2" fillId="0" borderId="0" applyFont="0" applyFill="0" applyBorder="0" applyAlignment="0" applyProtection="0">
      <alignment horizontal="right"/>
    </xf>
    <xf numFmtId="0" fontId="2" fillId="0" borderId="0" applyProtection="0">
      <alignment horizontal="right"/>
    </xf>
    <xf numFmtId="0" fontId="61" fillId="0" borderId="48" applyNumberFormat="0" applyAlignment="0" applyProtection="0">
      <alignment horizontal="left" vertical="center"/>
    </xf>
    <xf numFmtId="0" fontId="61" fillId="0" borderId="35">
      <alignment horizontal="left" vertical="center"/>
    </xf>
    <xf numFmtId="0" fontId="62" fillId="0" borderId="54" applyNumberFormat="0" applyFill="0" applyAlignment="0" applyProtection="0"/>
    <xf numFmtId="0" fontId="63" fillId="0" borderId="55" applyNumberFormat="0" applyFill="0" applyAlignment="0" applyProtection="0"/>
    <xf numFmtId="0" fontId="62" fillId="0" borderId="54" applyNumberFormat="0" applyFill="0" applyAlignment="0" applyProtection="0"/>
    <xf numFmtId="0" fontId="62" fillId="0" borderId="54" applyNumberFormat="0" applyFill="0" applyAlignment="0" applyProtection="0"/>
    <xf numFmtId="0" fontId="62" fillId="0" borderId="54" applyNumberFormat="0" applyFill="0" applyAlignment="0" applyProtection="0"/>
    <xf numFmtId="0" fontId="62" fillId="0" borderId="54" applyNumberFormat="0" applyFill="0" applyAlignment="0" applyProtection="0"/>
    <xf numFmtId="0" fontId="62" fillId="0" borderId="54" applyNumberFormat="0" applyFill="0" applyAlignment="0" applyProtection="0"/>
    <xf numFmtId="0" fontId="62" fillId="0" borderId="54" applyNumberFormat="0" applyFill="0" applyAlignment="0" applyProtection="0"/>
    <xf numFmtId="0" fontId="62" fillId="0" borderId="54" applyNumberFormat="0" applyFill="0" applyAlignment="0" applyProtection="0"/>
    <xf numFmtId="0" fontId="64" fillId="0" borderId="56" applyNumberFormat="0" applyFill="0" applyAlignment="0" applyProtection="0"/>
    <xf numFmtId="0" fontId="65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6" fillId="0" borderId="57" applyNumberFormat="0" applyFill="0" applyAlignment="0" applyProtection="0"/>
    <xf numFmtId="0" fontId="67" fillId="0" borderId="58" applyNumberFormat="0" applyFill="0" applyAlignment="0" applyProtection="0"/>
    <xf numFmtId="0" fontId="66" fillId="0" borderId="57" applyNumberFormat="0" applyFill="0" applyAlignment="0" applyProtection="0"/>
    <xf numFmtId="0" fontId="66" fillId="0" borderId="57" applyNumberFormat="0" applyFill="0" applyAlignment="0" applyProtection="0"/>
    <xf numFmtId="0" fontId="66" fillId="0" borderId="57" applyNumberFormat="0" applyFill="0" applyAlignment="0" applyProtection="0"/>
    <xf numFmtId="0" fontId="66" fillId="0" borderId="57" applyNumberFormat="0" applyFill="0" applyAlignment="0" applyProtection="0"/>
    <xf numFmtId="0" fontId="66" fillId="0" borderId="57" applyNumberFormat="0" applyFill="0" applyAlignment="0" applyProtection="0"/>
    <xf numFmtId="0" fontId="66" fillId="0" borderId="57" applyNumberFormat="0" applyFill="0" applyAlignment="0" applyProtection="0"/>
    <xf numFmtId="0" fontId="66" fillId="0" borderId="57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59">
      <alignment horizontal="center"/>
    </xf>
    <xf numFmtId="0" fontId="68" fillId="0" borderId="0">
      <alignment horizontal="center"/>
    </xf>
    <xf numFmtId="10" fontId="10" fillId="46" borderId="4" applyNumberFormat="0" applyBorder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70" fillId="14" borderId="32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69" fillId="31" borderId="50" applyNumberFormat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71" fillId="0" borderId="60" applyNumberFormat="0" applyFill="0" applyAlignment="0" applyProtection="0"/>
    <xf numFmtId="0" fontId="72" fillId="0" borderId="60" applyNumberFormat="0" applyFill="0" applyAlignment="0" applyProtection="0"/>
    <xf numFmtId="0" fontId="71" fillId="0" borderId="60" applyNumberFormat="0" applyFill="0" applyAlignment="0" applyProtection="0"/>
    <xf numFmtId="0" fontId="71" fillId="0" borderId="60" applyNumberFormat="0" applyFill="0" applyAlignment="0" applyProtection="0"/>
    <xf numFmtId="0" fontId="71" fillId="0" borderId="60" applyNumberFormat="0" applyFill="0" applyAlignment="0" applyProtection="0"/>
    <xf numFmtId="0" fontId="71" fillId="0" borderId="60" applyNumberFormat="0" applyFill="0" applyAlignment="0" applyProtection="0"/>
    <xf numFmtId="0" fontId="71" fillId="0" borderId="60" applyNumberFormat="0" applyFill="0" applyAlignment="0" applyProtection="0"/>
    <xf numFmtId="0" fontId="71" fillId="0" borderId="60" applyNumberFormat="0" applyFill="0" applyAlignment="0" applyProtection="0"/>
    <xf numFmtId="0" fontId="71" fillId="0" borderId="60" applyNumberFormat="0" applyFill="0" applyAlignment="0" applyProtection="0"/>
    <xf numFmtId="171" fontId="27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>
      <alignment horizontal="right"/>
    </xf>
    <xf numFmtId="0" fontId="73" fillId="36" borderId="0" applyNumberFormat="0" applyBorder="0" applyAlignment="0" applyProtection="0"/>
    <xf numFmtId="0" fontId="74" fillId="13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191" fontId="75" fillId="0" borderId="0"/>
    <xf numFmtId="0" fontId="2" fillId="0" borderId="0"/>
    <xf numFmtId="0" fontId="2" fillId="0" borderId="0"/>
    <xf numFmtId="0" fontId="2" fillId="0" borderId="0"/>
    <xf numFmtId="19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7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0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77" fillId="0" borderId="0">
      <alignment vertical="top"/>
    </xf>
    <xf numFmtId="0" fontId="27" fillId="0" borderId="0"/>
    <xf numFmtId="0" fontId="1" fillId="0" borderId="0"/>
    <xf numFmtId="0" fontId="27" fillId="0" borderId="0"/>
    <xf numFmtId="0" fontId="78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2" fillId="0" borderId="0"/>
    <xf numFmtId="0" fontId="78" fillId="0" borderId="0"/>
    <xf numFmtId="0" fontId="78" fillId="0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2" fillId="0" borderId="0"/>
    <xf numFmtId="0" fontId="26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79" fillId="16" borderId="34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0" fontId="27" fillId="47" borderId="61" applyNumberFormat="0" applyFont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1" fillId="15" borderId="33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0" fontId="80" fillId="26" borderId="62" applyNumberFormat="0" applyAlignment="0" applyProtection="0"/>
    <xf numFmtId="1" fontId="2" fillId="0" borderId="0" applyProtection="0">
      <alignment horizontal="right" vertical="center"/>
    </xf>
    <xf numFmtId="14" fontId="39" fillId="0" borderId="0">
      <alignment horizontal="center" wrapText="1"/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6" fillId="0" borderId="0" applyNumberFormat="0" applyFont="0" applyFill="0" applyBorder="0" applyAlignment="0" applyProtection="0">
      <alignment horizontal="left"/>
    </xf>
    <xf numFmtId="15" fontId="2" fillId="0" borderId="0" applyFont="0" applyFill="0" applyBorder="0" applyAlignment="0" applyProtection="0"/>
    <xf numFmtId="4" fontId="26" fillId="0" borderId="0" applyFont="0" applyFill="0" applyBorder="0" applyAlignment="0" applyProtection="0"/>
    <xf numFmtId="0" fontId="44" fillId="0" borderId="59">
      <alignment horizontal="center"/>
    </xf>
    <xf numFmtId="194" fontId="82" fillId="48" borderId="0" applyBorder="0" applyAlignment="0" applyProtection="0"/>
    <xf numFmtId="0" fontId="83" fillId="49" borderId="0" applyNumberFormat="0" applyFont="0" applyBorder="0" applyAlignment="0">
      <alignment horizontal="center"/>
    </xf>
    <xf numFmtId="0" fontId="84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195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2" fillId="46" borderId="63"/>
    <xf numFmtId="0" fontId="83" fillId="1" borderId="35" applyNumberFormat="0" applyFont="0" applyAlignment="0">
      <alignment horizontal="center"/>
    </xf>
    <xf numFmtId="0" fontId="2" fillId="0" borderId="0"/>
    <xf numFmtId="0" fontId="86" fillId="0" borderId="0" applyNumberFormat="0" applyFill="0" applyBorder="0" applyAlignment="0">
      <alignment horizont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>
      <alignment vertical="top"/>
    </xf>
    <xf numFmtId="0" fontId="87" fillId="26" borderId="0">
      <alignment horizontal="centerContinuous"/>
    </xf>
    <xf numFmtId="0" fontId="88" fillId="26" borderId="0">
      <alignment horizontal="centerContinuous"/>
    </xf>
    <xf numFmtId="40" fontId="89" fillId="0" borderId="0" applyBorder="0">
      <alignment horizontal="right"/>
    </xf>
    <xf numFmtId="0" fontId="2" fillId="0" borderId="0" applyBorder="0" applyProtection="0">
      <alignment vertical="center"/>
    </xf>
    <xf numFmtId="187" fontId="2" fillId="0" borderId="37" applyBorder="0" applyProtection="0">
      <alignment horizontal="right" vertical="center"/>
    </xf>
    <xf numFmtId="0" fontId="2" fillId="50" borderId="0" applyBorder="0" applyProtection="0">
      <alignment horizontal="centerContinuous" vertical="center"/>
    </xf>
    <xf numFmtId="0" fontId="2" fillId="51" borderId="37" applyBorder="0" applyProtection="0">
      <alignment horizontal="centerContinuous" vertical="center"/>
    </xf>
    <xf numFmtId="0" fontId="2" fillId="0" borderId="0" applyBorder="0" applyProtection="0">
      <alignment vertical="center"/>
    </xf>
    <xf numFmtId="0" fontId="55" fillId="0" borderId="0" applyBorder="0" applyProtection="0">
      <alignment horizontal="left"/>
    </xf>
    <xf numFmtId="0" fontId="23" fillId="0" borderId="0" applyFill="0" applyBorder="0" applyProtection="0">
      <alignment horizontal="left"/>
    </xf>
    <xf numFmtId="0" fontId="10" fillId="0" borderId="22" applyFill="0" applyBorder="0" applyProtection="0">
      <alignment horizontal="left" vertical="top"/>
    </xf>
    <xf numFmtId="49" fontId="19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96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97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" fillId="0" borderId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3" fillId="0" borderId="65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2" fillId="0" borderId="6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" fillId="0" borderId="0"/>
    <xf numFmtId="0" fontId="2" fillId="0" borderId="0" applyFont="0" applyFill="0" applyBorder="0" applyAlignment="0" applyProtection="0"/>
    <xf numFmtId="0" fontId="95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96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8" fontId="96" fillId="0" borderId="0" applyFont="0" applyFill="0" applyBorder="0" applyAlignment="0" applyProtection="0"/>
    <xf numFmtId="19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86">
    <xf numFmtId="0" fontId="0" fillId="0" borderId="0" xfId="0"/>
    <xf numFmtId="4" fontId="0" fillId="0" borderId="1" xfId="0" applyNumberFormat="1" applyBorder="1"/>
    <xf numFmtId="4" fontId="0" fillId="0" borderId="4" xfId="0" applyNumberFormat="1" applyBorder="1"/>
    <xf numFmtId="0" fontId="0" fillId="0" borderId="4" xfId="0" applyBorder="1"/>
    <xf numFmtId="0" fontId="5" fillId="3" borderId="7" xfId="0" applyFont="1" applyFill="1" applyBorder="1" applyAlignment="1">
      <alignment horizontal="right"/>
    </xf>
    <xf numFmtId="0" fontId="5" fillId="3" borderId="8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4" fontId="5" fillId="0" borderId="0" xfId="0" applyNumberFormat="1" applyFont="1" applyFill="1" applyBorder="1"/>
    <xf numFmtId="0" fontId="0" fillId="0" borderId="0" xfId="0" applyFill="1" applyBorder="1"/>
    <xf numFmtId="4" fontId="0" fillId="0" borderId="0" xfId="0" applyNumberFormat="1" applyFill="1" applyBorder="1"/>
    <xf numFmtId="4" fontId="5" fillId="3" borderId="9" xfId="0" applyNumberFormat="1" applyFont="1" applyFill="1" applyBorder="1"/>
    <xf numFmtId="0" fontId="0" fillId="0" borderId="0" xfId="0" applyBorder="1"/>
    <xf numFmtId="3" fontId="0" fillId="0" borderId="4" xfId="0" applyNumberFormat="1" applyBorder="1"/>
    <xf numFmtId="0" fontId="5" fillId="0" borderId="0" xfId="0" applyFont="1"/>
    <xf numFmtId="2" fontId="5" fillId="0" borderId="0" xfId="0" applyNumberFormat="1" applyFont="1"/>
    <xf numFmtId="49" fontId="5" fillId="2" borderId="12" xfId="0" applyNumberFormat="1" applyFont="1" applyFill="1" applyBorder="1" applyAlignment="1">
      <alignment horizontal="center" wrapText="1"/>
    </xf>
    <xf numFmtId="2" fontId="5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5" fillId="3" borderId="9" xfId="0" applyNumberFormat="1" applyFont="1" applyFill="1" applyBorder="1"/>
    <xf numFmtId="0" fontId="0" fillId="0" borderId="0" xfId="0" applyNumberFormat="1"/>
    <xf numFmtId="2" fontId="5" fillId="0" borderId="0" xfId="0" applyNumberFormat="1" applyFont="1" applyFill="1" applyBorder="1" applyAlignment="1">
      <alignment horizontal="center" wrapText="1"/>
    </xf>
    <xf numFmtId="3" fontId="0" fillId="0" borderId="0" xfId="0" applyNumberFormat="1" applyFill="1" applyBorder="1"/>
    <xf numFmtId="3" fontId="5" fillId="0" borderId="0" xfId="0" applyNumberFormat="1" applyFont="1" applyFill="1" applyBorder="1"/>
    <xf numFmtId="0" fontId="7" fillId="0" borderId="0" xfId="0" applyFont="1" applyFill="1" applyBorder="1" applyAlignment="1">
      <alignment horizontal="left" vertical="center"/>
    </xf>
    <xf numFmtId="3" fontId="5" fillId="3" borderId="11" xfId="0" applyNumberFormat="1" applyFont="1" applyFill="1" applyBorder="1"/>
    <xf numFmtId="0" fontId="0" fillId="0" borderId="1" xfId="0" applyBorder="1"/>
    <xf numFmtId="0" fontId="5" fillId="4" borderId="5" xfId="0" applyFont="1" applyFill="1" applyBorder="1"/>
    <xf numFmtId="4" fontId="5" fillId="4" borderId="5" xfId="0" applyNumberFormat="1" applyFont="1" applyFill="1" applyBorder="1"/>
    <xf numFmtId="3" fontId="5" fillId="4" borderId="10" xfId="0" applyNumberFormat="1" applyFont="1" applyFill="1" applyBorder="1"/>
    <xf numFmtId="0" fontId="5" fillId="4" borderId="16" xfId="0" applyFont="1" applyFill="1" applyBorder="1" applyAlignment="1">
      <alignment horizontal="left"/>
    </xf>
    <xf numFmtId="0" fontId="5" fillId="0" borderId="17" xfId="0" applyFont="1" applyBorder="1"/>
    <xf numFmtId="0" fontId="5" fillId="0" borderId="14" xfId="0" applyFont="1" applyBorder="1"/>
    <xf numFmtId="0" fontId="5" fillId="0" borderId="0" xfId="0" applyFont="1" applyAlignment="1">
      <alignment horizontal="left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4" fontId="5" fillId="0" borderId="0" xfId="0" applyNumberFormat="1" applyFont="1"/>
    <xf numFmtId="3" fontId="0" fillId="0" borderId="0" xfId="0" applyNumberFormat="1"/>
    <xf numFmtId="49" fontId="0" fillId="0" borderId="0" xfId="0" applyNumberFormat="1" applyAlignment="1">
      <alignment wrapText="1"/>
    </xf>
    <xf numFmtId="0" fontId="5" fillId="0" borderId="14" xfId="0" applyNumberFormat="1" applyFont="1" applyBorder="1"/>
    <xf numFmtId="164" fontId="0" fillId="0" borderId="4" xfId="0" applyNumberFormat="1" applyBorder="1"/>
    <xf numFmtId="0" fontId="5" fillId="4" borderId="16" xfId="0" applyNumberFormat="1" applyFont="1" applyFill="1" applyBorder="1"/>
    <xf numFmtId="3" fontId="5" fillId="4" borderId="5" xfId="0" applyNumberFormat="1" applyFont="1" applyFill="1" applyBorder="1"/>
    <xf numFmtId="0" fontId="5" fillId="0" borderId="18" xfId="0" applyNumberFormat="1" applyFont="1" applyBorder="1"/>
    <xf numFmtId="49" fontId="5" fillId="2" borderId="19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164" fontId="5" fillId="3" borderId="9" xfId="0" applyNumberFormat="1" applyFont="1" applyFill="1" applyBorder="1"/>
    <xf numFmtId="0" fontId="2" fillId="0" borderId="0" xfId="0" applyFont="1"/>
    <xf numFmtId="0" fontId="0" fillId="0" borderId="0" xfId="0" applyAlignment="1">
      <alignment wrapText="1"/>
    </xf>
    <xf numFmtId="3" fontId="7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/>
    <xf numFmtId="4" fontId="5" fillId="3" borderId="3" xfId="0" applyNumberFormat="1" applyFont="1" applyFill="1" applyBorder="1"/>
    <xf numFmtId="2" fontId="5" fillId="5" borderId="2" xfId="0" applyNumberFormat="1" applyFont="1" applyFill="1" applyBorder="1" applyAlignment="1">
      <alignment horizontal="center" wrapText="1"/>
    </xf>
    <xf numFmtId="2" fontId="5" fillId="6" borderId="2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3" fontId="5" fillId="2" borderId="23" xfId="0" applyNumberFormat="1" applyFont="1" applyFill="1" applyBorder="1" applyAlignment="1">
      <alignment horizontal="center" wrapText="1"/>
    </xf>
    <xf numFmtId="2" fontId="5" fillId="8" borderId="2" xfId="0" applyNumberFormat="1" applyFont="1" applyFill="1" applyBorder="1" applyAlignment="1">
      <alignment horizontal="center" wrapText="1"/>
    </xf>
    <xf numFmtId="2" fontId="5" fillId="9" borderId="2" xfId="0" applyNumberFormat="1" applyFont="1" applyFill="1" applyBorder="1" applyAlignment="1">
      <alignment horizontal="center" wrapText="1"/>
    </xf>
    <xf numFmtId="0" fontId="5" fillId="0" borderId="15" xfId="0" applyFont="1" applyBorder="1"/>
    <xf numFmtId="0" fontId="5" fillId="10" borderId="19" xfId="0" applyFont="1" applyFill="1" applyBorder="1" applyAlignment="1">
      <alignment horizontal="left"/>
    </xf>
    <xf numFmtId="0" fontId="0" fillId="10" borderId="9" xfId="0" applyFill="1" applyBorder="1"/>
    <xf numFmtId="0" fontId="5" fillId="10" borderId="7" xfId="0" applyFont="1" applyFill="1" applyBorder="1" applyAlignment="1">
      <alignment horizontal="left"/>
    </xf>
    <xf numFmtId="0" fontId="5" fillId="10" borderId="8" xfId="0" applyFont="1" applyFill="1" applyBorder="1"/>
    <xf numFmtId="4" fontId="5" fillId="10" borderId="9" xfId="0" applyNumberFormat="1" applyFont="1" applyFill="1" applyBorder="1"/>
    <xf numFmtId="3" fontId="5" fillId="10" borderId="11" xfId="0" applyNumberFormat="1" applyFont="1" applyFill="1" applyBorder="1"/>
    <xf numFmtId="4" fontId="2" fillId="0" borderId="1" xfId="0" applyNumberFormat="1" applyFont="1" applyBorder="1"/>
    <xf numFmtId="4" fontId="2" fillId="0" borderId="4" xfId="0" applyNumberFormat="1" applyFont="1" applyBorder="1"/>
    <xf numFmtId="0" fontId="2" fillId="10" borderId="9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2" fillId="0" borderId="0" xfId="0" applyFont="1" applyFill="1" applyBorder="1"/>
    <xf numFmtId="1" fontId="13" fillId="0" borderId="0" xfId="0" applyNumberFormat="1" applyFont="1" applyAlignment="1"/>
    <xf numFmtId="1" fontId="13" fillId="0" borderId="22" xfId="0" applyNumberFormat="1" applyFont="1" applyFill="1" applyBorder="1"/>
    <xf numFmtId="1" fontId="13" fillId="0" borderId="22" xfId="0" applyNumberFormat="1" applyFont="1" applyBorder="1"/>
    <xf numFmtId="1" fontId="13" fillId="0" borderId="0" xfId="0" applyNumberFormat="1" applyFont="1" applyBorder="1"/>
    <xf numFmtId="3" fontId="15" fillId="0" borderId="1" xfId="0" applyNumberFormat="1" applyFont="1" applyBorder="1"/>
    <xf numFmtId="3" fontId="15" fillId="0" borderId="4" xfId="0" applyNumberFormat="1" applyFont="1" applyBorder="1"/>
    <xf numFmtId="3" fontId="16" fillId="0" borderId="0" xfId="0" applyNumberFormat="1" applyFont="1" applyFill="1" applyBorder="1"/>
    <xf numFmtId="3" fontId="15" fillId="10" borderId="11" xfId="0" applyNumberFormat="1" applyFont="1" applyFill="1" applyBorder="1"/>
    <xf numFmtId="49" fontId="2" fillId="0" borderId="0" xfId="0" applyNumberFormat="1" applyFont="1" applyBorder="1"/>
    <xf numFmtId="0" fontId="0" fillId="0" borderId="0" xfId="0" applyAlignment="1"/>
    <xf numFmtId="49" fontId="2" fillId="0" borderId="27" xfId="0" applyNumberFormat="1" applyFont="1" applyBorder="1"/>
    <xf numFmtId="1" fontId="13" fillId="0" borderId="0" xfId="0" applyNumberFormat="1" applyFont="1" applyFill="1" applyBorder="1"/>
    <xf numFmtId="49" fontId="5" fillId="4" borderId="0" xfId="0" applyNumberFormat="1" applyFont="1" applyFill="1" applyBorder="1"/>
    <xf numFmtId="4" fontId="5" fillId="4" borderId="0" xfId="0" applyNumberFormat="1" applyFont="1" applyFill="1" applyBorder="1" applyAlignment="1">
      <alignment horizontal="right"/>
    </xf>
    <xf numFmtId="10" fontId="5" fillId="4" borderId="0" xfId="0" applyNumberFormat="1" applyFont="1" applyFill="1" applyBorder="1" applyAlignment="1">
      <alignment horizontal="center"/>
    </xf>
    <xf numFmtId="49" fontId="5" fillId="11" borderId="0" xfId="0" applyNumberFormat="1" applyFont="1" applyFill="1" applyBorder="1"/>
    <xf numFmtId="49" fontId="2" fillId="11" borderId="0" xfId="0" applyNumberFormat="1" applyFont="1" applyFill="1" applyBorder="1"/>
    <xf numFmtId="1" fontId="14" fillId="0" borderId="0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center"/>
    </xf>
    <xf numFmtId="4" fontId="5" fillId="2" borderId="4" xfId="0" applyNumberFormat="1" applyFont="1" applyFill="1" applyBorder="1" applyAlignment="1">
      <alignment horizontal="center" wrapText="1"/>
    </xf>
    <xf numFmtId="10" fontId="5" fillId="2" borderId="4" xfId="0" applyNumberFormat="1" applyFont="1" applyFill="1" applyBorder="1" applyAlignment="1">
      <alignment horizontal="center" wrapText="1"/>
    </xf>
    <xf numFmtId="49" fontId="2" fillId="0" borderId="28" xfId="0" applyNumberFormat="1" applyFont="1" applyFill="1" applyBorder="1"/>
    <xf numFmtId="4" fontId="2" fillId="0" borderId="28" xfId="0" applyNumberFormat="1" applyFont="1" applyBorder="1" applyAlignment="1">
      <alignment horizontal="right"/>
    </xf>
    <xf numFmtId="10" fontId="2" fillId="0" borderId="28" xfId="0" applyNumberFormat="1" applyFont="1" applyBorder="1" applyAlignment="1">
      <alignment horizontal="center"/>
    </xf>
    <xf numFmtId="49" fontId="2" fillId="0" borderId="28" xfId="0" applyNumberFormat="1" applyFont="1" applyBorder="1"/>
    <xf numFmtId="49" fontId="2" fillId="10" borderId="28" xfId="0" applyNumberFormat="1" applyFont="1" applyFill="1" applyBorder="1"/>
    <xf numFmtId="49" fontId="2" fillId="0" borderId="28" xfId="0" applyNumberFormat="1" applyFont="1" applyBorder="1" applyAlignment="1">
      <alignment horizontal="left"/>
    </xf>
    <xf numFmtId="49" fontId="2" fillId="0" borderId="29" xfId="0" applyNumberFormat="1" applyFont="1" applyBorder="1"/>
    <xf numFmtId="49" fontId="2" fillId="0" borderId="30" xfId="0" applyNumberFormat="1" applyFont="1" applyBorder="1"/>
    <xf numFmtId="49" fontId="5" fillId="4" borderId="31" xfId="0" applyNumberFormat="1" applyFont="1" applyFill="1" applyBorder="1" applyAlignment="1">
      <alignment wrapText="1"/>
    </xf>
    <xf numFmtId="49" fontId="5" fillId="4" borderId="31" xfId="0" applyNumberFormat="1" applyFont="1" applyFill="1" applyBorder="1"/>
    <xf numFmtId="4" fontId="5" fillId="4" borderId="31" xfId="0" applyNumberFormat="1" applyFont="1" applyFill="1" applyBorder="1" applyAlignment="1">
      <alignment horizontal="right"/>
    </xf>
    <xf numFmtId="10" fontId="5" fillId="4" borderId="31" xfId="0" applyNumberFormat="1" applyFont="1" applyFill="1" applyBorder="1" applyAlignment="1">
      <alignment horizontal="center"/>
    </xf>
    <xf numFmtId="49" fontId="5" fillId="4" borderId="31" xfId="0" applyNumberFormat="1" applyFont="1" applyFill="1" applyBorder="1" applyAlignment="1"/>
    <xf numFmtId="0" fontId="0" fillId="0" borderId="0" xfId="0" applyFill="1"/>
    <xf numFmtId="0" fontId="5" fillId="11" borderId="19" xfId="0" applyFont="1" applyFill="1" applyBorder="1" applyAlignment="1">
      <alignment horizontal="left"/>
    </xf>
    <xf numFmtId="0" fontId="0" fillId="11" borderId="9" xfId="0" applyFill="1" applyBorder="1"/>
    <xf numFmtId="0" fontId="2" fillId="11" borderId="9" xfId="0" applyFont="1" applyFill="1" applyBorder="1"/>
    <xf numFmtId="3" fontId="15" fillId="11" borderId="11" xfId="0" applyNumberFormat="1" applyFont="1" applyFill="1" applyBorder="1"/>
    <xf numFmtId="0" fontId="5" fillId="11" borderId="7" xfId="0" applyFont="1" applyFill="1" applyBorder="1" applyAlignment="1">
      <alignment horizontal="left"/>
    </xf>
    <xf numFmtId="0" fontId="5" fillId="11" borderId="8" xfId="0" applyFont="1" applyFill="1" applyBorder="1"/>
    <xf numFmtId="4" fontId="5" fillId="11" borderId="9" xfId="0" applyNumberFormat="1" applyFont="1" applyFill="1" applyBorder="1"/>
    <xf numFmtId="3" fontId="5" fillId="11" borderId="11" xfId="0" applyNumberFormat="1" applyFont="1" applyFill="1" applyBorder="1"/>
    <xf numFmtId="0" fontId="5" fillId="3" borderId="7" xfId="0" applyFont="1" applyFill="1" applyBorder="1" applyAlignment="1">
      <alignment horizontal="left"/>
    </xf>
    <xf numFmtId="0" fontId="5" fillId="12" borderId="7" xfId="0" applyFont="1" applyFill="1" applyBorder="1" applyAlignment="1">
      <alignment horizontal="left"/>
    </xf>
    <xf numFmtId="0" fontId="5" fillId="12" borderId="8" xfId="0" applyFont="1" applyFill="1" applyBorder="1"/>
    <xf numFmtId="4" fontId="5" fillId="12" borderId="9" xfId="0" applyNumberFormat="1" applyFont="1" applyFill="1" applyBorder="1"/>
    <xf numFmtId="3" fontId="5" fillId="12" borderId="9" xfId="0" applyNumberFormat="1" applyFont="1" applyFill="1" applyBorder="1"/>
    <xf numFmtId="4" fontId="5" fillId="12" borderId="15" xfId="0" applyNumberFormat="1" applyFont="1" applyFill="1" applyBorder="1"/>
    <xf numFmtId="4" fontId="5" fillId="12" borderId="3" xfId="0" applyNumberFormat="1" applyFont="1" applyFill="1" applyBorder="1"/>
    <xf numFmtId="0" fontId="13" fillId="0" borderId="0" xfId="0" applyFont="1" applyAlignment="1"/>
    <xf numFmtId="0" fontId="2" fillId="2" borderId="2" xfId="0" applyFont="1" applyFill="1" applyBorder="1"/>
    <xf numFmtId="49" fontId="2" fillId="0" borderId="27" xfId="0" applyNumberFormat="1" applyFont="1" applyFill="1" applyBorder="1"/>
    <xf numFmtId="0" fontId="13" fillId="0" borderId="0" xfId="0" applyFont="1"/>
    <xf numFmtId="0" fontId="2" fillId="0" borderId="0" xfId="0" applyFont="1" applyAlignment="1"/>
    <xf numFmtId="49" fontId="2" fillId="11" borderId="0" xfId="0" applyNumberFormat="1" applyFont="1" applyFill="1" applyBorder="1" applyAlignment="1">
      <alignment horizontal="left"/>
    </xf>
    <xf numFmtId="4" fontId="2" fillId="11" borderId="0" xfId="0" applyNumberFormat="1" applyFont="1" applyFill="1" applyBorder="1" applyAlignment="1">
      <alignment horizontal="right"/>
    </xf>
    <xf numFmtId="10" fontId="2" fillId="11" borderId="0" xfId="0" applyNumberFormat="1" applyFont="1" applyFill="1" applyBorder="1" applyAlignment="1">
      <alignment horizontal="center"/>
    </xf>
    <xf numFmtId="49" fontId="2" fillId="4" borderId="0" xfId="0" applyNumberFormat="1" applyFont="1" applyFill="1" applyBorder="1"/>
    <xf numFmtId="49" fontId="5" fillId="4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horizontal="center"/>
    </xf>
    <xf numFmtId="49" fontId="2" fillId="4" borderId="31" xfId="0" applyNumberFormat="1" applyFont="1" applyFill="1" applyBorder="1"/>
    <xf numFmtId="49" fontId="5" fillId="4" borderId="31" xfId="0" applyNumberFormat="1" applyFont="1" applyFill="1" applyBorder="1" applyAlignment="1">
      <alignment horizontal="left"/>
    </xf>
    <xf numFmtId="49" fontId="2" fillId="0" borderId="30" xfId="0" applyNumberFormat="1" applyFont="1" applyFill="1" applyBorder="1"/>
    <xf numFmtId="49" fontId="2" fillId="0" borderId="30" xfId="0" applyNumberFormat="1" applyFont="1" applyBorder="1" applyAlignment="1">
      <alignment horizontal="left"/>
    </xf>
    <xf numFmtId="4" fontId="2" fillId="0" borderId="30" xfId="0" applyNumberFormat="1" applyFont="1" applyBorder="1" applyAlignment="1">
      <alignment horizontal="right"/>
    </xf>
    <xf numFmtId="10" fontId="2" fillId="0" borderId="30" xfId="0" applyNumberFormat="1" applyFont="1" applyBorder="1" applyAlignment="1">
      <alignment horizontal="center"/>
    </xf>
    <xf numFmtId="49" fontId="2" fillId="4" borderId="31" xfId="0" applyNumberFormat="1" applyFont="1" applyFill="1" applyBorder="1" applyAlignment="1"/>
    <xf numFmtId="49" fontId="2" fillId="0" borderId="28" xfId="0" applyNumberFormat="1" applyFont="1" applyFill="1" applyBorder="1" applyAlignment="1">
      <alignment horizontal="left"/>
    </xf>
    <xf numFmtId="4" fontId="2" fillId="0" borderId="28" xfId="0" applyNumberFormat="1" applyFont="1" applyFill="1" applyBorder="1" applyAlignment="1">
      <alignment horizontal="right"/>
    </xf>
    <xf numFmtId="4" fontId="2" fillId="0" borderId="28" xfId="0" applyNumberFormat="1" applyFont="1" applyBorder="1"/>
    <xf numFmtId="49" fontId="2" fillId="0" borderId="29" xfId="0" applyNumberFormat="1" applyFont="1" applyBorder="1" applyAlignment="1">
      <alignment horizontal="left"/>
    </xf>
    <xf numFmtId="4" fontId="2" fillId="0" borderId="29" xfId="0" applyNumberFormat="1" applyFont="1" applyBorder="1" applyAlignment="1">
      <alignment horizontal="right"/>
    </xf>
    <xf numFmtId="10" fontId="2" fillId="0" borderId="29" xfId="0" applyNumberFormat="1" applyFont="1" applyBorder="1" applyAlignment="1">
      <alignment horizontal="center"/>
    </xf>
    <xf numFmtId="4" fontId="2" fillId="0" borderId="30" xfId="0" applyNumberFormat="1" applyFont="1" applyBorder="1"/>
    <xf numFmtId="0" fontId="2" fillId="0" borderId="0" xfId="0" applyFont="1" applyAlignment="1">
      <alignment vertical="top"/>
    </xf>
    <xf numFmtId="4" fontId="2" fillId="0" borderId="0" xfId="0" applyNumberFormat="1" applyFont="1" applyBorder="1"/>
    <xf numFmtId="49" fontId="17" fillId="0" borderId="0" xfId="0" applyNumberFormat="1" applyFont="1" applyFill="1" applyAlignment="1">
      <alignment horizontal="center" vertical="center"/>
    </xf>
    <xf numFmtId="3" fontId="13" fillId="0" borderId="0" xfId="0" applyNumberFormat="1" applyFont="1" applyAlignment="1"/>
    <xf numFmtId="49" fontId="15" fillId="0" borderId="28" xfId="0" applyNumberFormat="1" applyFont="1" applyFill="1" applyBorder="1"/>
    <xf numFmtId="49" fontId="15" fillId="0" borderId="28" xfId="0" applyNumberFormat="1" applyFont="1" applyBorder="1"/>
    <xf numFmtId="49" fontId="15" fillId="0" borderId="28" xfId="0" applyNumberFormat="1" applyFont="1" applyBorder="1" applyAlignment="1">
      <alignment horizontal="left"/>
    </xf>
    <xf numFmtId="4" fontId="15" fillId="0" borderId="28" xfId="0" applyNumberFormat="1" applyFont="1" applyBorder="1" applyAlignment="1">
      <alignment horizontal="right"/>
    </xf>
    <xf numFmtId="10" fontId="15" fillId="0" borderId="28" xfId="0" applyNumberFormat="1" applyFont="1" applyBorder="1" applyAlignment="1">
      <alignment horizontal="center"/>
    </xf>
    <xf numFmtId="1" fontId="15" fillId="0" borderId="0" xfId="0" applyNumberFormat="1" applyFont="1" applyBorder="1"/>
    <xf numFmtId="0" fontId="15" fillId="0" borderId="0" xfId="0" applyFont="1"/>
    <xf numFmtId="1" fontId="15" fillId="0" borderId="0" xfId="0" applyNumberFormat="1" applyFont="1" applyFill="1" applyBorder="1"/>
    <xf numFmtId="49" fontId="4" fillId="3" borderId="0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/>
    <xf numFmtId="49" fontId="6" fillId="0" borderId="13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0" fontId="0" fillId="0" borderId="21" xfId="0" applyBorder="1" applyAlignment="1"/>
    <xf numFmtId="0" fontId="0" fillId="0" borderId="25" xfId="0" applyBorder="1" applyAlignment="1"/>
    <xf numFmtId="49" fontId="3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49" fontId="4" fillId="3" borderId="20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7" borderId="20" xfId="0" applyNumberFormat="1" applyFont="1" applyFill="1" applyBorder="1" applyAlignment="1">
      <alignment horizontal="center"/>
    </xf>
    <xf numFmtId="49" fontId="4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4" borderId="21" xfId="0" applyNumberFormat="1" applyFont="1" applyFill="1" applyBorder="1" applyAlignment="1">
      <alignment horizontal="center"/>
    </xf>
    <xf numFmtId="49" fontId="6" fillId="0" borderId="25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3" borderId="13" xfId="0" applyNumberFormat="1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1" fillId="0" borderId="38" xfId="5" applyFill="1" applyBorder="1" applyAlignment="1">
      <alignment wrapText="1"/>
    </xf>
    <xf numFmtId="0" fontId="5" fillId="2" borderId="43" xfId="0" applyNumberFormat="1" applyFont="1" applyFill="1" applyBorder="1" applyAlignment="1">
      <alignment horizontal="center" wrapText="1"/>
    </xf>
    <xf numFmtId="0" fontId="1" fillId="0" borderId="4" xfId="5" applyNumberFormat="1" applyBorder="1" applyAlignment="1">
      <alignment wrapText="1"/>
    </xf>
    <xf numFmtId="49" fontId="5" fillId="2" borderId="43" xfId="0" applyNumberFormat="1" applyFont="1" applyFill="1" applyBorder="1" applyAlignment="1">
      <alignment horizontal="center" wrapText="1"/>
    </xf>
    <xf numFmtId="0" fontId="24" fillId="0" borderId="45" xfId="11" applyFont="1" applyBorder="1" applyAlignment="1">
      <alignment horizontal="left" vertical="center"/>
    </xf>
    <xf numFmtId="165" fontId="22" fillId="0" borderId="41" xfId="50" applyFont="1" applyFill="1" applyBorder="1" applyAlignment="1">
      <alignment horizontal="left" vertical="center"/>
    </xf>
    <xf numFmtId="165" fontId="25" fillId="0" borderId="41" xfId="50" applyFont="1" applyFill="1" applyBorder="1" applyAlignment="1">
      <alignment horizontal="left" vertical="center"/>
    </xf>
    <xf numFmtId="165" fontId="22" fillId="0" borderId="40" xfId="50" applyFont="1" applyFill="1" applyBorder="1" applyAlignment="1">
      <alignment horizontal="left" vertical="center"/>
    </xf>
    <xf numFmtId="165" fontId="22" fillId="0" borderId="38" xfId="50" applyFont="1" applyFill="1" applyBorder="1" applyAlignment="1">
      <alignment horizontal="left" vertical="center"/>
    </xf>
    <xf numFmtId="165" fontId="2" fillId="0" borderId="39" xfId="50" applyFont="1" applyFill="1" applyBorder="1" applyAlignment="1">
      <alignment horizontal="left" vertical="center" wrapText="1"/>
    </xf>
    <xf numFmtId="165" fontId="2" fillId="0" borderId="38" xfId="50" applyFont="1" applyFill="1" applyBorder="1" applyAlignment="1">
      <alignment horizontal="left" vertical="center" wrapText="1"/>
    </xf>
    <xf numFmtId="9" fontId="1" fillId="0" borderId="45" xfId="40" applyFont="1" applyFill="1" applyBorder="1" applyAlignment="1">
      <alignment wrapText="1"/>
    </xf>
    <xf numFmtId="49" fontId="4" fillId="3" borderId="38" xfId="0" applyNumberFormat="1" applyFont="1" applyFill="1" applyBorder="1" applyAlignment="1">
      <alignment horizontal="center"/>
    </xf>
    <xf numFmtId="165" fontId="22" fillId="0" borderId="41" xfId="50" applyFont="1" applyFill="1" applyBorder="1" applyAlignment="1">
      <alignment horizontal="left" vertical="center" wrapText="1"/>
    </xf>
    <xf numFmtId="2" fontId="5" fillId="2" borderId="43" xfId="0" applyNumberFormat="1" applyFont="1" applyFill="1" applyBorder="1" applyAlignment="1">
      <alignment horizontal="center" wrapText="1"/>
    </xf>
    <xf numFmtId="49" fontId="4" fillId="3" borderId="4" xfId="0" applyNumberFormat="1" applyFont="1" applyFill="1" applyBorder="1" applyAlignment="1">
      <alignment horizontal="center"/>
    </xf>
    <xf numFmtId="165" fontId="22" fillId="0" borderId="38" xfId="50" applyFont="1" applyFill="1" applyBorder="1" applyAlignment="1">
      <alignment horizontal="left" vertical="center" wrapText="1"/>
    </xf>
    <xf numFmtId="165" fontId="22" fillId="0" borderId="44" xfId="50" applyFont="1" applyFill="1" applyBorder="1" applyAlignment="1">
      <alignment horizontal="left" vertical="center" wrapText="1"/>
    </xf>
    <xf numFmtId="165" fontId="22" fillId="0" borderId="46" xfId="50" applyFont="1" applyFill="1" applyBorder="1" applyAlignment="1">
      <alignment horizontal="left" vertical="center" wrapText="1"/>
    </xf>
    <xf numFmtId="0" fontId="1" fillId="0" borderId="38" xfId="11" applyFill="1" applyBorder="1" applyAlignment="1">
      <alignment wrapText="1"/>
    </xf>
    <xf numFmtId="49" fontId="4" fillId="3" borderId="4" xfId="0" applyNumberFormat="1" applyFont="1" applyFill="1" applyBorder="1" applyAlignment="1">
      <alignment horizontal="center"/>
    </xf>
    <xf numFmtId="165" fontId="22" fillId="0" borderId="40" xfId="50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21" fillId="0" borderId="45" xfId="41" applyFont="1" applyFill="1" applyBorder="1" applyAlignment="1">
      <alignment horizontal="left" vertical="center" wrapText="1"/>
    </xf>
    <xf numFmtId="9" fontId="1" fillId="0" borderId="41" xfId="40" applyFont="1" applyFill="1" applyBorder="1" applyAlignment="1"/>
    <xf numFmtId="0" fontId="1" fillId="0" borderId="41" xfId="11" applyNumberFormat="1" applyBorder="1" applyAlignment="1"/>
    <xf numFmtId="165" fontId="21" fillId="0" borderId="41" xfId="41" applyFont="1" applyFill="1" applyBorder="1" applyAlignment="1">
      <alignment horizontal="left" vertical="center" wrapText="1"/>
    </xf>
    <xf numFmtId="49" fontId="21" fillId="23" borderId="41" xfId="41" applyNumberFormat="1" applyFont="1" applyFill="1" applyBorder="1" applyAlignment="1">
      <alignment horizontal="left" vertical="center"/>
    </xf>
    <xf numFmtId="165" fontId="22" fillId="0" borderId="41" xfId="56" applyFont="1" applyFill="1" applyBorder="1" applyAlignment="1">
      <alignment horizontal="left" vertical="center"/>
    </xf>
    <xf numFmtId="165" fontId="22" fillId="0" borderId="42" xfId="50" applyFont="1" applyFill="1" applyBorder="1" applyAlignment="1">
      <alignment horizontal="left" vertical="center"/>
    </xf>
    <xf numFmtId="0" fontId="1" fillId="0" borderId="45" xfId="11" applyNumberFormat="1" applyBorder="1" applyAlignment="1">
      <alignment wrapText="1"/>
    </xf>
    <xf numFmtId="49" fontId="4" fillId="4" borderId="48" xfId="0" applyNumberFormat="1" applyFont="1" applyFill="1" applyBorder="1" applyAlignment="1">
      <alignment horizontal="center"/>
    </xf>
    <xf numFmtId="0" fontId="0" fillId="0" borderId="49" xfId="0" applyBorder="1" applyAlignment="1"/>
    <xf numFmtId="0" fontId="1" fillId="0" borderId="45" xfId="5" applyNumberFormat="1" applyBorder="1" applyAlignment="1">
      <alignment wrapText="1"/>
    </xf>
    <xf numFmtId="165" fontId="22" fillId="23" borderId="45" xfId="56" applyFont="1" applyFill="1" applyBorder="1" applyAlignment="1">
      <alignment horizontal="left" vertical="center"/>
    </xf>
    <xf numFmtId="165" fontId="25" fillId="0" borderId="45" xfId="50" applyFont="1" applyFill="1" applyBorder="1" applyAlignment="1">
      <alignment horizontal="left" vertical="center" wrapText="1"/>
    </xf>
    <xf numFmtId="9" fontId="1" fillId="0" borderId="4" xfId="40" applyFont="1" applyFill="1" applyBorder="1" applyAlignment="1"/>
    <xf numFmtId="165" fontId="22" fillId="0" borderId="38" xfId="44" applyFont="1" applyFill="1" applyBorder="1" applyAlignment="1">
      <alignment horizontal="left" vertical="center" wrapText="1"/>
    </xf>
    <xf numFmtId="165" fontId="25" fillId="0" borderId="41" xfId="50" applyFont="1" applyFill="1" applyBorder="1" applyAlignment="1">
      <alignment horizontal="left" vertical="center" wrapText="1"/>
    </xf>
    <xf numFmtId="9" fontId="1" fillId="0" borderId="41" xfId="40" applyFont="1" applyFill="1" applyBorder="1" applyAlignment="1">
      <alignment wrapText="1"/>
    </xf>
    <xf numFmtId="165" fontId="22" fillId="0" borderId="42" xfId="50" applyFont="1" applyFill="1" applyBorder="1" applyAlignment="1">
      <alignment horizontal="left" vertical="center" wrapText="1"/>
    </xf>
    <xf numFmtId="165" fontId="22" fillId="0" borderId="39" xfId="50" applyFont="1" applyFill="1" applyBorder="1" applyAlignment="1">
      <alignment horizontal="left" vertical="center" wrapText="1"/>
    </xf>
    <xf numFmtId="0" fontId="1" fillId="0" borderId="44" xfId="11" applyFill="1" applyBorder="1" applyAlignment="1">
      <alignment wrapText="1"/>
    </xf>
    <xf numFmtId="0" fontId="1" fillId="0" borderId="4" xfId="11" applyNumberFormat="1" applyBorder="1" applyAlignment="1"/>
    <xf numFmtId="0" fontId="1" fillId="0" borderId="41" xfId="11" applyNumberFormat="1" applyBorder="1" applyAlignment="1">
      <alignment wrapText="1"/>
    </xf>
    <xf numFmtId="165" fontId="22" fillId="0" borderId="4" xfId="50" applyFont="1" applyFill="1" applyBorder="1" applyAlignment="1">
      <alignment horizontal="left" vertical="center"/>
    </xf>
    <xf numFmtId="165" fontId="25" fillId="0" borderId="4" xfId="50" applyFont="1" applyFill="1" applyBorder="1" applyAlignment="1">
      <alignment horizontal="left" vertical="center"/>
    </xf>
    <xf numFmtId="165" fontId="22" fillId="0" borderId="4" xfId="56" applyFont="1" applyFill="1" applyBorder="1" applyAlignment="1">
      <alignment horizontal="left" vertical="center" wrapText="1"/>
    </xf>
    <xf numFmtId="165" fontId="2" fillId="0" borderId="4" xfId="56" applyFont="1" applyFill="1" applyBorder="1" applyAlignment="1">
      <alignment horizontal="left" vertical="center" wrapText="1"/>
    </xf>
    <xf numFmtId="165" fontId="22" fillId="0" borderId="4" xfId="56" applyFont="1" applyFill="1" applyBorder="1" applyAlignment="1">
      <alignment horizontal="left" vertical="center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5" fillId="0" borderId="4" xfId="50" applyFont="1" applyFill="1" applyBorder="1" applyAlignment="1">
      <alignment horizontal="left" vertical="center" wrapText="1"/>
    </xf>
    <xf numFmtId="165" fontId="22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165" fontId="22" fillId="0" borderId="39" xfId="50" applyFont="1" applyFill="1" applyBorder="1" applyAlignment="1">
      <alignment horizontal="left" vertical="center"/>
    </xf>
    <xf numFmtId="165" fontId="2" fillId="0" borderId="39" xfId="50" applyFont="1" applyFill="1" applyBorder="1" applyAlignment="1">
      <alignment horizontal="left" vertical="center"/>
    </xf>
    <xf numFmtId="49" fontId="4" fillId="4" borderId="47" xfId="0" applyNumberFormat="1" applyFont="1" applyFill="1" applyBorder="1" applyAlignment="1">
      <alignment horizontal="center"/>
    </xf>
    <xf numFmtId="165" fontId="2" fillId="23" borderId="4" xfId="56" applyFont="1" applyFill="1" applyBorder="1" applyAlignment="1">
      <alignment horizontal="left" vertical="center"/>
    </xf>
    <xf numFmtId="0" fontId="2" fillId="2" borderId="12" xfId="0" applyFont="1" applyFill="1" applyBorder="1"/>
    <xf numFmtId="165" fontId="22" fillId="0" borderId="45" xfId="56" applyFont="1" applyFill="1" applyBorder="1" applyAlignment="1">
      <alignment horizontal="left" vertical="center"/>
    </xf>
    <xf numFmtId="165" fontId="2" fillId="0" borderId="38" xfId="50" applyFont="1" applyFill="1" applyBorder="1" applyAlignment="1">
      <alignment horizontal="left" vertical="center"/>
    </xf>
    <xf numFmtId="165" fontId="22" fillId="0" borderId="4" xfId="50" applyFont="1" applyFill="1" applyBorder="1" applyAlignment="1">
      <alignment horizontal="left" vertical="center"/>
    </xf>
    <xf numFmtId="165" fontId="2" fillId="0" borderId="4" xfId="50" applyFont="1" applyFill="1" applyBorder="1" applyAlignment="1">
      <alignment horizontal="left" vertical="center"/>
    </xf>
    <xf numFmtId="165" fontId="25" fillId="0" borderId="4" xfId="50" applyFont="1" applyFill="1" applyBorder="1" applyAlignment="1">
      <alignment horizontal="left" vertical="center"/>
    </xf>
    <xf numFmtId="0" fontId="2" fillId="24" borderId="4" xfId="11" applyFont="1" applyFill="1" applyBorder="1" applyAlignment="1">
      <alignment horizontal="left"/>
    </xf>
    <xf numFmtId="165" fontId="2" fillId="0" borderId="4" xfId="56" applyFont="1" applyFill="1" applyBorder="1" applyAlignment="1">
      <alignment horizontal="left" vertical="center"/>
    </xf>
    <xf numFmtId="0" fontId="22" fillId="0" borderId="4" xfId="11" applyFont="1" applyBorder="1" applyAlignment="1">
      <alignment horizontal="left" vertical="center"/>
    </xf>
    <xf numFmtId="165" fontId="22" fillId="0" borderId="4" xfId="56" applyFont="1" applyFill="1" applyBorder="1" applyAlignment="1">
      <alignment horizontal="left" vertical="center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5" fillId="0" borderId="4" xfId="50" applyFont="1" applyFill="1" applyBorder="1" applyAlignment="1">
      <alignment horizontal="left" vertical="center" wrapText="1"/>
    </xf>
    <xf numFmtId="49" fontId="21" fillId="23" borderId="4" xfId="41" applyNumberFormat="1" applyFont="1" applyFill="1" applyBorder="1" applyAlignment="1">
      <alignment horizontal="left" vertical="center"/>
    </xf>
    <xf numFmtId="0" fontId="24" fillId="0" borderId="4" xfId="11" applyFont="1" applyBorder="1" applyAlignment="1">
      <alignment horizontal="left" vertical="center"/>
    </xf>
    <xf numFmtId="165" fontId="2" fillId="0" borderId="4" xfId="56" applyFont="1" applyFill="1" applyBorder="1" applyAlignment="1">
      <alignment horizontal="left" vertical="center"/>
    </xf>
    <xf numFmtId="0" fontId="2" fillId="23" borderId="4" xfId="11" applyFont="1" applyFill="1" applyBorder="1" applyAlignment="1">
      <alignment horizontal="left"/>
    </xf>
    <xf numFmtId="0" fontId="22" fillId="0" borderId="4" xfId="11" applyFont="1" applyBorder="1" applyAlignment="1">
      <alignment horizontal="left" vertical="center"/>
    </xf>
    <xf numFmtId="165" fontId="22" fillId="0" borderId="4" xfId="56" applyFont="1" applyFill="1" applyBorder="1" applyAlignment="1">
      <alignment horizontal="left" vertical="center"/>
    </xf>
    <xf numFmtId="165" fontId="21" fillId="0" borderId="4" xfId="41" applyFont="1" applyFill="1" applyBorder="1" applyAlignment="1">
      <alignment horizontal="left" vertical="center" wrapText="1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5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49" fontId="21" fillId="23" borderId="4" xfId="41" applyNumberFormat="1" applyFont="1" applyFill="1" applyBorder="1" applyAlignment="1">
      <alignment horizontal="left" vertical="center"/>
    </xf>
    <xf numFmtId="0" fontId="24" fillId="0" borderId="4" xfId="11" applyFont="1" applyBorder="1" applyAlignment="1">
      <alignment horizontal="left" vertical="center"/>
    </xf>
    <xf numFmtId="165" fontId="21" fillId="0" borderId="4" xfId="41" applyFont="1" applyFill="1" applyBorder="1" applyAlignment="1">
      <alignment horizontal="left" vertical="center" wrapText="1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5" fillId="0" borderId="4" xfId="50" applyFont="1" applyFill="1" applyBorder="1" applyAlignment="1">
      <alignment horizontal="left" vertical="center" wrapText="1"/>
    </xf>
    <xf numFmtId="165" fontId="22" fillId="0" borderId="4" xfId="56" applyFont="1" applyFill="1" applyBorder="1" applyAlignment="1">
      <alignment horizontal="left" vertical="center"/>
    </xf>
    <xf numFmtId="9" fontId="1" fillId="0" borderId="4" xfId="40" applyFont="1" applyFill="1" applyBorder="1" applyAlignment="1">
      <alignment wrapText="1"/>
    </xf>
    <xf numFmtId="0" fontId="1" fillId="0" borderId="4" xfId="11" applyNumberFormat="1" applyBorder="1" applyAlignment="1">
      <alignment wrapText="1"/>
    </xf>
    <xf numFmtId="165" fontId="25" fillId="0" borderId="4" xfId="50" applyFont="1" applyFill="1" applyBorder="1" applyAlignment="1">
      <alignment horizontal="left" vertical="center" wrapText="1"/>
    </xf>
    <xf numFmtId="165" fontId="22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  <xf numFmtId="0" fontId="1" fillId="0" borderId="4" xfId="11" applyNumberFormat="1" applyBorder="1" applyAlignment="1">
      <alignment wrapText="1"/>
    </xf>
    <xf numFmtId="9" fontId="5" fillId="4" borderId="5" xfId="4" applyFont="1" applyFill="1" applyBorder="1"/>
    <xf numFmtId="165" fontId="22" fillId="0" borderId="4" xfId="50" applyFont="1" applyFill="1" applyBorder="1" applyAlignment="1">
      <alignment horizontal="left" vertical="center" wrapText="1"/>
    </xf>
    <xf numFmtId="165" fontId="2" fillId="0" borderId="4" xfId="50" applyFont="1" applyFill="1" applyBorder="1" applyAlignment="1">
      <alignment horizontal="left" vertical="center" wrapText="1"/>
    </xf>
  </cellXfs>
  <cellStyles count="1500">
    <cellStyle name="%" xfId="126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20% - Accent1 10" xfId="172"/>
    <cellStyle name="20% - Accent1 2" xfId="173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cent1 10" xfId="338"/>
    <cellStyle name="Accent1 2" xfId="339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3" xfId="512"/>
    <cellStyle name="Calculation 10 4" xfId="513"/>
    <cellStyle name="Calculation 10 5" xfId="514"/>
    <cellStyle name="Calculation 2" xfId="515"/>
    <cellStyle name="Calculation 2 2" xfId="516"/>
    <cellStyle name="Calculation 2 3" xfId="517"/>
    <cellStyle name="Calculation 2 4" xfId="518"/>
    <cellStyle name="Calculation 2 5" xfId="519"/>
    <cellStyle name="Calculation 3" xfId="520"/>
    <cellStyle name="Calculation 3 2" xfId="521"/>
    <cellStyle name="Calculation 3 3" xfId="522"/>
    <cellStyle name="Calculation 3 4" xfId="523"/>
    <cellStyle name="Calculation 3 5" xfId="524"/>
    <cellStyle name="Calculation 4" xfId="525"/>
    <cellStyle name="Calculation 4 2" xfId="526"/>
    <cellStyle name="Calculation 4 3" xfId="527"/>
    <cellStyle name="Calculation 4 4" xfId="528"/>
    <cellStyle name="Calculation 4 5" xfId="529"/>
    <cellStyle name="Calculation 5" xfId="530"/>
    <cellStyle name="Calculation 5 2" xfId="531"/>
    <cellStyle name="Calculation 5 3" xfId="532"/>
    <cellStyle name="Calculation 5 4" xfId="533"/>
    <cellStyle name="Calculation 5 5" xfId="534"/>
    <cellStyle name="Calculation 6" xfId="535"/>
    <cellStyle name="Calculation 6 2" xfId="536"/>
    <cellStyle name="Calculation 6 3" xfId="537"/>
    <cellStyle name="Calculation 6 4" xfId="538"/>
    <cellStyle name="Calculation 6 5" xfId="539"/>
    <cellStyle name="Calculation 7" xfId="540"/>
    <cellStyle name="Calculation 7 2" xfId="541"/>
    <cellStyle name="Calculation 7 3" xfId="542"/>
    <cellStyle name="Calculation 7 4" xfId="543"/>
    <cellStyle name="Calculation 7 5" xfId="544"/>
    <cellStyle name="Calculation 8" xfId="545"/>
    <cellStyle name="Calculation 8 2" xfId="546"/>
    <cellStyle name="Calculation 8 3" xfId="547"/>
    <cellStyle name="Calculation 8 4" xfId="548"/>
    <cellStyle name="Calculation 8 5" xfId="549"/>
    <cellStyle name="Calculation 9" xfId="550"/>
    <cellStyle name="Calculation 9 2" xfId="551"/>
    <cellStyle name="Calculation 9 3" xfId="552"/>
    <cellStyle name="Calculation 9 4" xfId="553"/>
    <cellStyle name="Calculation 9 5" xfId="554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4" xfId="697"/>
    <cellStyle name="COMMA, 0" xfId="698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ing 1 10" xfId="836"/>
    <cellStyle name="Heading 1 2" xfId="837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Input [yellow]" xfId="874"/>
    <cellStyle name="Input 10" xfId="875"/>
    <cellStyle name="Input 10 2" xfId="876"/>
    <cellStyle name="Input 10 3" xfId="877"/>
    <cellStyle name="Input 10 4" xfId="878"/>
    <cellStyle name="Input 10 5" xfId="879"/>
    <cellStyle name="Input 2" xfId="880"/>
    <cellStyle name="Input 2 2" xfId="881"/>
    <cellStyle name="Input 2 3" xfId="882"/>
    <cellStyle name="Input 2 4" xfId="883"/>
    <cellStyle name="Input 2 5" xfId="884"/>
    <cellStyle name="Input 3" xfId="885"/>
    <cellStyle name="Input 3 2" xfId="886"/>
    <cellStyle name="Input 3 3" xfId="887"/>
    <cellStyle name="Input 3 4" xfId="888"/>
    <cellStyle name="Input 3 5" xfId="889"/>
    <cellStyle name="Input 4" xfId="890"/>
    <cellStyle name="Input 4 2" xfId="891"/>
    <cellStyle name="Input 4 3" xfId="892"/>
    <cellStyle name="Input 4 4" xfId="893"/>
    <cellStyle name="Input 4 5" xfId="894"/>
    <cellStyle name="Input 5" xfId="895"/>
    <cellStyle name="Input 5 2" xfId="896"/>
    <cellStyle name="Input 5 3" xfId="897"/>
    <cellStyle name="Input 5 4" xfId="898"/>
    <cellStyle name="Input 5 5" xfId="899"/>
    <cellStyle name="Input 6" xfId="900"/>
    <cellStyle name="Input 6 2" xfId="901"/>
    <cellStyle name="Input 6 3" xfId="902"/>
    <cellStyle name="Input 6 4" xfId="903"/>
    <cellStyle name="Input 6 5" xfId="904"/>
    <cellStyle name="Input 7" xfId="905"/>
    <cellStyle name="Input 7 2" xfId="906"/>
    <cellStyle name="Input 7 3" xfId="907"/>
    <cellStyle name="Input 7 4" xfId="908"/>
    <cellStyle name="Input 7 5" xfId="909"/>
    <cellStyle name="Input 8" xfId="910"/>
    <cellStyle name="Input 8 2" xfId="911"/>
    <cellStyle name="Input 8 3" xfId="912"/>
    <cellStyle name="Input 8 4" xfId="913"/>
    <cellStyle name="Input 8 5" xfId="914"/>
    <cellStyle name="Input 9" xfId="915"/>
    <cellStyle name="Input 9 2" xfId="916"/>
    <cellStyle name="Input 9 3" xfId="917"/>
    <cellStyle name="Input 9 4" xfId="918"/>
    <cellStyle name="Input 9 5" xfId="919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1" xfId="61"/>
    <cellStyle name="Normal 11 2" xfId="1031"/>
    <cellStyle name="Normal 11 3" xfId="1030"/>
    <cellStyle name="Normal 12" xfId="62"/>
    <cellStyle name="Normal 12 2" xfId="1032"/>
    <cellStyle name="Normal 13" xfId="47"/>
    <cellStyle name="Normal 13 2" xfId="1033"/>
    <cellStyle name="Normal 14" xfId="63"/>
    <cellStyle name="Normal 14 2" xfId="1034"/>
    <cellStyle name="Normal 15" xfId="64"/>
    <cellStyle name="Normal 15 2" xfId="1035"/>
    <cellStyle name="Normal 16" xfId="65"/>
    <cellStyle name="Normal 16 2" xfId="1036"/>
    <cellStyle name="Normal 17" xfId="66"/>
    <cellStyle name="Normal 17 2" xfId="1037"/>
    <cellStyle name="Normal 18" xfId="67"/>
    <cellStyle name="Normal 18 2" xfId="1038"/>
    <cellStyle name="Normal 19" xfId="68"/>
    <cellStyle name="Normal 19 2" xfId="1039"/>
    <cellStyle name="Normal 2" xfId="11"/>
    <cellStyle name="Normal 2 10" xfId="14"/>
    <cellStyle name="Normal 2 10 2" xfId="56"/>
    <cellStyle name="Normal 2 10 2 2" xfId="104"/>
    <cellStyle name="Normal 2 10 3" xfId="69"/>
    <cellStyle name="Normal 2 10 4" xfId="70"/>
    <cellStyle name="Normal 2 10 5" xfId="71"/>
    <cellStyle name="Normal 2 10 6" xfId="72"/>
    <cellStyle name="Normal 2 11" xfId="15"/>
    <cellStyle name="Normal 2 11 2" xfId="105"/>
    <cellStyle name="Normal 2 12" xfId="16"/>
    <cellStyle name="Normal 2 12 2" xfId="59"/>
    <cellStyle name="Normal 2 13" xfId="17"/>
    <cellStyle name="Normal 2 13 2" xfId="57"/>
    <cellStyle name="Normal 2 14" xfId="18"/>
    <cellStyle name="Normal 2 14 2" xfId="106"/>
    <cellStyle name="Normal 2 15" xfId="73"/>
    <cellStyle name="Normal 2 16" xfId="19"/>
    <cellStyle name="Normal 2 16 2" xfId="44"/>
    <cellStyle name="Normal 2 17" xfId="20"/>
    <cellStyle name="Normal 2 17 2" xfId="107"/>
    <cellStyle name="Normal 2 18" xfId="21"/>
    <cellStyle name="Normal 2 18 2" xfId="46"/>
    <cellStyle name="Normal 2 19" xfId="74"/>
    <cellStyle name="Normal 2 2" xfId="38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4" xfId="1055"/>
    <cellStyle name="Normal 2 2 2 2 2 2 5" xfId="1056"/>
    <cellStyle name="Normal 2 2 2 2 2 3" xfId="1057"/>
    <cellStyle name="Normal 2 2 2 2 2 3 2" xfId="105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5" xfId="1064"/>
    <cellStyle name="Normal 2 2 2 2 6" xfId="1065"/>
    <cellStyle name="Normal 2 2 2 2 7" xfId="1042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4" xfId="1073"/>
    <cellStyle name="Normal 2 2 2 3 5" xfId="1074"/>
    <cellStyle name="Normal 2 2 2 4" xfId="1075"/>
    <cellStyle name="Normal 2 2 2 4 2" xfId="1076"/>
    <cellStyle name="Normal 2 2 2 5" xfId="1077"/>
    <cellStyle name="Normal 2 2 2 6" xfId="1078"/>
    <cellStyle name="Normal 2 2 2 7" xfId="104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3" xfId="1084"/>
    <cellStyle name="Normal 2 2 3 2 2 4" xfId="1085"/>
    <cellStyle name="Normal 2 2 3 2 2 5" xfId="1086"/>
    <cellStyle name="Normal 2 2 3 2 3" xfId="1087"/>
    <cellStyle name="Normal 2 2 3 2 4" xfId="1088"/>
    <cellStyle name="Normal 2 2 3 2 5" xfId="1089"/>
    <cellStyle name="Normal 2 2 3 3" xfId="1090"/>
    <cellStyle name="Normal 2 2 3 4" xfId="1091"/>
    <cellStyle name="Normal 2 2 3 5" xfId="1092"/>
    <cellStyle name="Normal 2 2 3 6" xfId="1079"/>
    <cellStyle name="Normal 2 2 4" xfId="76"/>
    <cellStyle name="Normal 2 2 4 2" xfId="1093"/>
    <cellStyle name="Normal 2 2 5" xfId="77"/>
    <cellStyle name="Normal 2 2 5 2" xfId="1095"/>
    <cellStyle name="Normal 2 2 5 3" xfId="1094"/>
    <cellStyle name="Normal 2 2 6" xfId="78"/>
    <cellStyle name="Normal 2 2 6 2" xfId="1096"/>
    <cellStyle name="Normal 2 2 7" xfId="79"/>
    <cellStyle name="Normal 2 2 7 2" xfId="1097"/>
    <cellStyle name="Normal 2 2 8" xfId="1040"/>
    <cellStyle name="Normal 2 20" xfId="80"/>
    <cellStyle name="Normal 2 21" xfId="81"/>
    <cellStyle name="Normal 2 22" xfId="52"/>
    <cellStyle name="Normal 2 23" xfId="54"/>
    <cellStyle name="Normal 2 24" xfId="22"/>
    <cellStyle name="Normal 2 24 2" xfId="109"/>
    <cellStyle name="Normal 2 25" xfId="82"/>
    <cellStyle name="Normal 2 26" xfId="8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3" xfId="1103"/>
    <cellStyle name="Normal 2 3 2 2 4" xfId="1104"/>
    <cellStyle name="Normal 2 3 2 2 5" xfId="1105"/>
    <cellStyle name="Normal 2 3 2 3" xfId="1106"/>
    <cellStyle name="Normal 2 3 2 4" xfId="1107"/>
    <cellStyle name="Normal 2 3 2 5" xfId="1108"/>
    <cellStyle name="Normal 2 3 2 6" xfId="1099"/>
    <cellStyle name="Normal 2 3 3" xfId="1109"/>
    <cellStyle name="Normal 2 3 4" xfId="1110"/>
    <cellStyle name="Normal 2 3 5" xfId="1111"/>
    <cellStyle name="Normal 2 3 6" xfId="1098"/>
    <cellStyle name="Normal 2 4" xfId="23"/>
    <cellStyle name="Normal 2 4 2" xfId="111"/>
    <cellStyle name="Normal 2 4 2 2" xfId="1112"/>
    <cellStyle name="Normal 2 4 3" xfId="1113"/>
    <cellStyle name="Normal 2 4 4" xfId="1114"/>
    <cellStyle name="Normal 2 4 5" xfId="1115"/>
    <cellStyle name="Normal 2 5" xfId="83"/>
    <cellStyle name="Normal 2 5 2" xfId="1117"/>
    <cellStyle name="Normal 2 5 3" xfId="1116"/>
    <cellStyle name="Normal 2 6" xfId="9"/>
    <cellStyle name="Normal 2 6 2" xfId="112"/>
    <cellStyle name="Normal 2 6 2 2" xfId="1118"/>
    <cellStyle name="Normal 2 7" xfId="84"/>
    <cellStyle name="Normal 2 7 2" xfId="1119"/>
    <cellStyle name="Normal 2 8" xfId="10"/>
    <cellStyle name="Normal 2 8 2" xfId="113"/>
    <cellStyle name="Normal 2 9" xfId="85"/>
    <cellStyle name="Normal 2 9 2" xfId="1120"/>
    <cellStyle name="Normal 2_EMEA" xfId="36"/>
    <cellStyle name="Normal 20" xfId="120"/>
    <cellStyle name="Normal 20 2" xfId="1121"/>
    <cellStyle name="Normal 21" xfId="49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9" xfId="121"/>
    <cellStyle name="Normal 3" xfId="7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3" xfId="1128"/>
    <cellStyle name="Normal 3 2 4" xfId="1129"/>
    <cellStyle name="Normal 3 2 5" xfId="1130"/>
    <cellStyle name="Normal 3 2 6" xfId="1131"/>
    <cellStyle name="Normal 3 2 7" xfId="1124"/>
    <cellStyle name="Normal 3 3" xfId="98"/>
    <cellStyle name="Normal 3 3 2" xfId="1133"/>
    <cellStyle name="Normal 3 3 2 2" xfId="1134"/>
    <cellStyle name="Normal 3 3 3" xfId="1135"/>
    <cellStyle name="Normal 3 3 4" xfId="1132"/>
    <cellStyle name="Normal 3 4" xfId="1136"/>
    <cellStyle name="Normal 3 4 2" xfId="1137"/>
    <cellStyle name="Normal 3 4 2 2" xfId="1138"/>
    <cellStyle name="Normal 3 4 3" xfId="1139"/>
    <cellStyle name="Normal 3 5" xfId="1140"/>
    <cellStyle name="Normal 3 5 2" xfId="1141"/>
    <cellStyle name="Normal 3 6" xfId="1142"/>
    <cellStyle name="Normal 3 6 2" xfId="1143"/>
    <cellStyle name="Normal 3 7" xfId="1144"/>
    <cellStyle name="Normal 3 7 2" xfId="1145"/>
    <cellStyle name="Normal 3 8" xfId="1123"/>
    <cellStyle name="Normal 30" xfId="102"/>
    <cellStyle name="Normal 31" xfId="117"/>
    <cellStyle name="Normal 32" xfId="116"/>
    <cellStyle name="Normal 33" xfId="115"/>
    <cellStyle name="Normal 34" xfId="114"/>
    <cellStyle name="Normal 35" xfId="123"/>
    <cellStyle name="Normal 36" xfId="5"/>
    <cellStyle name="Normal 37" xfId="125"/>
    <cellStyle name="Normal 38" xfId="1499"/>
    <cellStyle name="Normal 4" xfId="12"/>
    <cellStyle name="Normal 4 10" xfId="39"/>
    <cellStyle name="Normal 4 11" xfId="24"/>
    <cellStyle name="Normal 4 12" xfId="25"/>
    <cellStyle name="Normal 4 13" xfId="26"/>
    <cellStyle name="Normal 4 14" xfId="42"/>
    <cellStyle name="Normal 4 2" xfId="27"/>
    <cellStyle name="Normal 4 2 2" xfId="1147"/>
    <cellStyle name="Normal 4 2 3" xfId="1146"/>
    <cellStyle name="Normal 4 3" xfId="28"/>
    <cellStyle name="Normal 4 3 2" xfId="114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5" xfId="6"/>
    <cellStyle name="Normal 5 2" xfId="119"/>
    <cellStyle name="Normal 5 2 2" xfId="1149"/>
    <cellStyle name="Normal 5 3" xfId="1150"/>
    <cellStyle name="Normal 6" xfId="43"/>
    <cellStyle name="Normal 6 2" xfId="45"/>
    <cellStyle name="Normal 6 2 2" xfId="1151"/>
    <cellStyle name="Normal 6 3" xfId="35"/>
    <cellStyle name="Normal 7" xfId="99"/>
    <cellStyle name="Normal 7 2" xfId="1153"/>
    <cellStyle name="Normal 7 3" xfId="1152"/>
    <cellStyle name="Normal 8" xfId="100"/>
    <cellStyle name="Normal 8 2" xfId="1154"/>
    <cellStyle name="Normal 9" xfId="101"/>
    <cellStyle name="Normal 9 2" xfId="1155"/>
    <cellStyle name="Normal_Sheet6" xfId="41"/>
    <cellStyle name="Note 10" xfId="1156"/>
    <cellStyle name="Note 10 2" xfId="1157"/>
    <cellStyle name="Note 10 3" xfId="1158"/>
    <cellStyle name="Note 10 4" xfId="1159"/>
    <cellStyle name="Note 10 5" xfId="1160"/>
    <cellStyle name="Note 2" xfId="1161"/>
    <cellStyle name="Note 2 2" xfId="1162"/>
    <cellStyle name="Note 2 3" xfId="1163"/>
    <cellStyle name="Note 2 4" xfId="1164"/>
    <cellStyle name="Note 2 5" xfId="1165"/>
    <cellStyle name="Note 3" xfId="1166"/>
    <cellStyle name="Note 3 2" xfId="1167"/>
    <cellStyle name="Note 3 3" xfId="1168"/>
    <cellStyle name="Note 3 4" xfId="1169"/>
    <cellStyle name="Note 3 5" xfId="1170"/>
    <cellStyle name="Note 4" xfId="1171"/>
    <cellStyle name="Note 4 2" xfId="1172"/>
    <cellStyle name="Note 4 3" xfId="1173"/>
    <cellStyle name="Note 4 4" xfId="1174"/>
    <cellStyle name="Note 4 5" xfId="1175"/>
    <cellStyle name="Note 5" xfId="1176"/>
    <cellStyle name="Note 5 2" xfId="1177"/>
    <cellStyle name="Note 5 3" xfId="1178"/>
    <cellStyle name="Note 5 4" xfId="1179"/>
    <cellStyle name="Note 5 5" xfId="1180"/>
    <cellStyle name="Note 6" xfId="1181"/>
    <cellStyle name="Note 6 2" xfId="1182"/>
    <cellStyle name="Note 6 3" xfId="1183"/>
    <cellStyle name="Note 6 4" xfId="1184"/>
    <cellStyle name="Note 6 5" xfId="1185"/>
    <cellStyle name="Note 7" xfId="1186"/>
    <cellStyle name="Note 7 2" xfId="1187"/>
    <cellStyle name="Note 7 3" xfId="1188"/>
    <cellStyle name="Note 7 4" xfId="1189"/>
    <cellStyle name="Note 7 5" xfId="1190"/>
    <cellStyle name="Note 8" xfId="1191"/>
    <cellStyle name="Note 8 2" xfId="1192"/>
    <cellStyle name="Note 8 3" xfId="1193"/>
    <cellStyle name="Note 8 4" xfId="1194"/>
    <cellStyle name="Note 8 5" xfId="1195"/>
    <cellStyle name="Note 9" xfId="1196"/>
    <cellStyle name="Note 9 2" xfId="1197"/>
    <cellStyle name="Note 9 3" xfId="1198"/>
    <cellStyle name="Note 9 4" xfId="1199"/>
    <cellStyle name="Note 9 5" xfId="1200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3" xfId="1205"/>
    <cellStyle name="Output 10 4" xfId="1206"/>
    <cellStyle name="Output 10 5" xfId="1207"/>
    <cellStyle name="Output 2" xfId="1208"/>
    <cellStyle name="Output 2 2" xfId="1209"/>
    <cellStyle name="Output 2 3" xfId="1210"/>
    <cellStyle name="Output 2 4" xfId="1211"/>
    <cellStyle name="Output 2 5" xfId="1212"/>
    <cellStyle name="Output 3" xfId="1213"/>
    <cellStyle name="Output 3 2" xfId="1214"/>
    <cellStyle name="Output 3 3" xfId="1215"/>
    <cellStyle name="Output 3 4" xfId="1216"/>
    <cellStyle name="Output 3 5" xfId="1217"/>
    <cellStyle name="Output 4" xfId="1218"/>
    <cellStyle name="Output 4 2" xfId="1219"/>
    <cellStyle name="Output 4 3" xfId="1220"/>
    <cellStyle name="Output 4 4" xfId="1221"/>
    <cellStyle name="Output 4 5" xfId="1222"/>
    <cellStyle name="Output 5" xfId="1223"/>
    <cellStyle name="Output 5 2" xfId="1224"/>
    <cellStyle name="Output 5 3" xfId="1225"/>
    <cellStyle name="Output 5 4" xfId="1226"/>
    <cellStyle name="Output 5 5" xfId="1227"/>
    <cellStyle name="Output 6" xfId="1228"/>
    <cellStyle name="Output 6 2" xfId="1229"/>
    <cellStyle name="Output 6 3" xfId="1230"/>
    <cellStyle name="Output 6 4" xfId="1231"/>
    <cellStyle name="Output 6 5" xfId="1232"/>
    <cellStyle name="Output 7" xfId="1233"/>
    <cellStyle name="Output 7 2" xfId="1234"/>
    <cellStyle name="Output 7 3" xfId="1235"/>
    <cellStyle name="Output 7 4" xfId="1236"/>
    <cellStyle name="Output 7 5" xfId="1237"/>
    <cellStyle name="Output 8" xfId="1238"/>
    <cellStyle name="Output 8 2" xfId="1239"/>
    <cellStyle name="Output 8 3" xfId="1240"/>
    <cellStyle name="Output 8 4" xfId="1241"/>
    <cellStyle name="Output 8 5" xfId="1242"/>
    <cellStyle name="Output 9" xfId="1243"/>
    <cellStyle name="Output 9 2" xfId="1244"/>
    <cellStyle name="Output 9 3" xfId="1245"/>
    <cellStyle name="Output 9 4" xfId="1246"/>
    <cellStyle name="Output 9 5" xfId="1247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2" xfId="40"/>
    <cellStyle name="Percent 2 2" xfId="1278"/>
    <cellStyle name="Percent 2 3" xfId="1277"/>
    <cellStyle name="Percent 3" xfId="1279"/>
    <cellStyle name="Percent 4" xfId="1280"/>
    <cellStyle name="Percent 5" xfId="124"/>
    <cellStyle name="Percent 6" xfId="1498"/>
    <cellStyle name="Percent 7" xfId="1281"/>
    <cellStyle name="Porcentual 2" xfId="1282"/>
    <cellStyle name="Porcentual 3" xfId="128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HADEDSTORES" xfId="1369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2" xfId="1376"/>
    <cellStyle name="Style 1 2 2" xfId="1377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Blue" xfId="1391"/>
    <cellStyle name="Table Head Green" xfId="13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3" xfId="1436"/>
    <cellStyle name="Total 10 4" xfId="1437"/>
    <cellStyle name="Total 10 5" xfId="1438"/>
    <cellStyle name="Total 2" xfId="1439"/>
    <cellStyle name="Total 2 2" xfId="1440"/>
    <cellStyle name="Total 2 3" xfId="1441"/>
    <cellStyle name="Total 2 4" xfId="1442"/>
    <cellStyle name="Total 2 5" xfId="1443"/>
    <cellStyle name="Total 3" xfId="1444"/>
    <cellStyle name="Total 3 2" xfId="1445"/>
    <cellStyle name="Total 3 3" xfId="1446"/>
    <cellStyle name="Total 3 4" xfId="1447"/>
    <cellStyle name="Total 3 5" xfId="1448"/>
    <cellStyle name="Total 4" xfId="1449"/>
    <cellStyle name="Total 4 2" xfId="1450"/>
    <cellStyle name="Total 4 3" xfId="1451"/>
    <cellStyle name="Total 4 4" xfId="1452"/>
    <cellStyle name="Total 4 5" xfId="1453"/>
    <cellStyle name="Total 5" xfId="1454"/>
    <cellStyle name="Total 5 2" xfId="1455"/>
    <cellStyle name="Total 5 3" xfId="1456"/>
    <cellStyle name="Total 5 4" xfId="1457"/>
    <cellStyle name="Total 5 5" xfId="1458"/>
    <cellStyle name="Total 6" xfId="1459"/>
    <cellStyle name="Total 6 2" xfId="1460"/>
    <cellStyle name="Total 6 3" xfId="1461"/>
    <cellStyle name="Total 6 4" xfId="1462"/>
    <cellStyle name="Total 6 5" xfId="1463"/>
    <cellStyle name="Total 7" xfId="1464"/>
    <cellStyle name="Total 7 2" xfId="1465"/>
    <cellStyle name="Total 7 3" xfId="1466"/>
    <cellStyle name="Total 7 4" xfId="1467"/>
    <cellStyle name="Total 7 5" xfId="1468"/>
    <cellStyle name="Total 8" xfId="1469"/>
    <cellStyle name="Total 8 2" xfId="1470"/>
    <cellStyle name="Total 8 3" xfId="1471"/>
    <cellStyle name="Total 8 4" xfId="1472"/>
    <cellStyle name="Total 8 5" xfId="1473"/>
    <cellStyle name="Total 9" xfId="1474"/>
    <cellStyle name="Total 9 2" xfId="1475"/>
    <cellStyle name="Total 9 3" xfId="1476"/>
    <cellStyle name="Total 9 4" xfId="1477"/>
    <cellStyle name="Total 9 5" xfId="1478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3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3"/>
  <sheetViews>
    <sheetView showGridLines="0" zoomScaleNormal="100" workbookViewId="0">
      <pane ySplit="2" topLeftCell="A84" activePane="bottomLeft" state="frozen"/>
      <selection pane="bottomLeft" activeCell="F14" sqref="F14"/>
    </sheetView>
  </sheetViews>
  <sheetFormatPr defaultRowHeight="12.75"/>
  <cols>
    <col min="1" max="1" width="17" style="82" customWidth="1"/>
    <col min="2" max="2" width="19.42578125" style="82" customWidth="1"/>
    <col min="3" max="3" width="13.85546875" style="82" customWidth="1"/>
    <col min="4" max="4" width="25" style="82" customWidth="1"/>
    <col min="5" max="5" width="5.5703125" style="82" customWidth="1"/>
    <col min="6" max="6" width="15.140625" style="136" customWidth="1"/>
    <col min="7" max="7" width="13" style="154" customWidth="1"/>
    <col min="8" max="8" width="10.7109375" style="137" customWidth="1"/>
    <col min="9" max="9" width="13.28515625" style="137" customWidth="1"/>
    <col min="10" max="12" width="10.7109375" style="154" customWidth="1"/>
    <col min="13" max="13" width="9.5703125" style="138" customWidth="1"/>
    <col min="14" max="14" width="12.85546875" style="82" customWidth="1"/>
    <col min="15" max="15" width="24.140625" style="82" customWidth="1"/>
    <col min="16" max="16" width="2" style="77" bestFit="1" customWidth="1"/>
    <col min="17" max="16384" width="9.140625" style="70"/>
  </cols>
  <sheetData>
    <row r="1" spans="1:16" s="129" customFormat="1" ht="18">
      <c r="A1" s="166" t="s">
        <v>866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74"/>
    </row>
    <row r="2" spans="1:16" ht="28.5" customHeight="1">
      <c r="A2" s="92" t="s">
        <v>49</v>
      </c>
      <c r="B2" s="92" t="s">
        <v>32</v>
      </c>
      <c r="C2" s="92" t="s">
        <v>7</v>
      </c>
      <c r="D2" s="92" t="s">
        <v>33</v>
      </c>
      <c r="E2" s="93" t="s">
        <v>20</v>
      </c>
      <c r="F2" s="92" t="s">
        <v>112</v>
      </c>
      <c r="G2" s="94" t="s">
        <v>34</v>
      </c>
      <c r="H2" s="94" t="s">
        <v>35</v>
      </c>
      <c r="I2" s="94" t="s">
        <v>97</v>
      </c>
      <c r="J2" s="94" t="s">
        <v>36</v>
      </c>
      <c r="K2" s="94" t="s">
        <v>37</v>
      </c>
      <c r="L2" s="94" t="s">
        <v>26</v>
      </c>
      <c r="M2" s="95" t="s">
        <v>38</v>
      </c>
      <c r="N2" s="92" t="s">
        <v>23</v>
      </c>
      <c r="O2" s="92" t="s">
        <v>39</v>
      </c>
      <c r="P2" s="91"/>
    </row>
    <row r="3" spans="1:16">
      <c r="A3" s="89" t="s">
        <v>325</v>
      </c>
      <c r="B3" s="90"/>
      <c r="C3" s="90"/>
      <c r="D3" s="90"/>
      <c r="E3" s="90"/>
      <c r="F3" s="130"/>
      <c r="G3" s="131"/>
      <c r="H3" s="131"/>
      <c r="I3" s="131"/>
      <c r="J3" s="131"/>
      <c r="K3" s="131"/>
      <c r="L3" s="131"/>
      <c r="M3" s="132"/>
      <c r="N3" s="90"/>
      <c r="O3" s="90"/>
      <c r="P3" s="85"/>
    </row>
    <row r="4" spans="1:16">
      <c r="A4" s="86" t="s">
        <v>6</v>
      </c>
      <c r="B4" s="86"/>
      <c r="C4" s="86"/>
      <c r="D4" s="86"/>
      <c r="E4" s="133"/>
      <c r="F4" s="134"/>
      <c r="G4" s="87"/>
      <c r="H4" s="87"/>
      <c r="I4" s="87"/>
      <c r="J4" s="87"/>
      <c r="K4" s="87"/>
      <c r="L4" s="87"/>
      <c r="M4" s="88"/>
      <c r="N4" s="86"/>
      <c r="O4" s="86"/>
      <c r="P4" s="85"/>
    </row>
    <row r="5" spans="1:16" s="48" customFormat="1">
      <c r="A5" s="96" t="s">
        <v>196</v>
      </c>
      <c r="B5" s="99" t="s">
        <v>556</v>
      </c>
      <c r="C5" s="99" t="s">
        <v>43</v>
      </c>
      <c r="D5" s="99" t="s">
        <v>77</v>
      </c>
      <c r="E5" s="96" t="s">
        <v>98</v>
      </c>
      <c r="F5" s="101" t="s">
        <v>850</v>
      </c>
      <c r="G5" s="97">
        <v>64240</v>
      </c>
      <c r="H5" s="97">
        <v>60162.43</v>
      </c>
      <c r="I5" s="97">
        <v>594.35</v>
      </c>
      <c r="J5" s="97">
        <v>59497.919999999998</v>
      </c>
      <c r="K5" s="97">
        <v>36311.300000000003</v>
      </c>
      <c r="L5" s="97">
        <v>23186.62</v>
      </c>
      <c r="M5" s="98">
        <v>0.61</v>
      </c>
      <c r="N5" s="99" t="s">
        <v>41</v>
      </c>
      <c r="O5" s="84" t="s">
        <v>198</v>
      </c>
      <c r="P5" s="76">
        <v>1</v>
      </c>
    </row>
    <row r="6" spans="1:16" s="48" customFormat="1">
      <c r="A6" s="96" t="s">
        <v>196</v>
      </c>
      <c r="B6" s="99" t="s">
        <v>556</v>
      </c>
      <c r="C6" s="99" t="s">
        <v>43</v>
      </c>
      <c r="D6" s="99" t="s">
        <v>77</v>
      </c>
      <c r="E6" s="96" t="s">
        <v>99</v>
      </c>
      <c r="F6" s="101" t="s">
        <v>850</v>
      </c>
      <c r="G6" s="97">
        <v>40800</v>
      </c>
      <c r="H6" s="97">
        <v>37997.96</v>
      </c>
      <c r="I6" s="97">
        <v>610.65</v>
      </c>
      <c r="J6" s="97">
        <v>37342.81</v>
      </c>
      <c r="K6" s="97">
        <v>25319.23</v>
      </c>
      <c r="L6" s="97">
        <v>12023.58</v>
      </c>
      <c r="M6" s="98">
        <v>0.67800000000000005</v>
      </c>
      <c r="N6" s="99" t="s">
        <v>41</v>
      </c>
      <c r="O6" s="84" t="s">
        <v>198</v>
      </c>
      <c r="P6" s="76"/>
    </row>
    <row r="7" spans="1:16" s="48" customFormat="1">
      <c r="A7" s="96" t="s">
        <v>266</v>
      </c>
      <c r="B7" s="99" t="s">
        <v>557</v>
      </c>
      <c r="C7" s="99" t="s">
        <v>43</v>
      </c>
      <c r="D7" s="99" t="s">
        <v>267</v>
      </c>
      <c r="E7" s="96" t="s">
        <v>99</v>
      </c>
      <c r="F7" s="101" t="s">
        <v>852</v>
      </c>
      <c r="G7" s="97">
        <v>220800</v>
      </c>
      <c r="H7" s="97">
        <v>200632.1</v>
      </c>
      <c r="I7" s="97">
        <v>2156.6</v>
      </c>
      <c r="J7" s="97">
        <v>195425.41</v>
      </c>
      <c r="K7" s="97">
        <v>136163.26</v>
      </c>
      <c r="L7" s="97">
        <v>59262.16</v>
      </c>
      <c r="M7" s="98">
        <v>0.69699999999999995</v>
      </c>
      <c r="N7" s="99" t="s">
        <v>41</v>
      </c>
      <c r="O7" s="84" t="s">
        <v>269</v>
      </c>
      <c r="P7" s="76">
        <v>1</v>
      </c>
    </row>
    <row r="8" spans="1:16" s="48" customFormat="1">
      <c r="A8" s="96" t="s">
        <v>268</v>
      </c>
      <c r="B8" s="99" t="s">
        <v>558</v>
      </c>
      <c r="C8" s="99" t="s">
        <v>43</v>
      </c>
      <c r="D8" s="99" t="s">
        <v>267</v>
      </c>
      <c r="E8" s="96" t="s">
        <v>99</v>
      </c>
      <c r="F8" s="101" t="s">
        <v>852</v>
      </c>
      <c r="G8" s="97">
        <v>86400</v>
      </c>
      <c r="H8" s="97">
        <v>78508.22</v>
      </c>
      <c r="I8" s="97">
        <v>951.04</v>
      </c>
      <c r="J8" s="97">
        <v>76366.570000000007</v>
      </c>
      <c r="K8" s="97">
        <v>54525.98</v>
      </c>
      <c r="L8" s="97">
        <v>21840.6</v>
      </c>
      <c r="M8" s="98">
        <v>0.71399999999999997</v>
      </c>
      <c r="N8" s="99" t="s">
        <v>41</v>
      </c>
      <c r="O8" s="84" t="s">
        <v>270</v>
      </c>
      <c r="P8" s="76">
        <v>1</v>
      </c>
    </row>
    <row r="9" spans="1:16" s="48" customFormat="1">
      <c r="A9" s="96" t="s">
        <v>285</v>
      </c>
      <c r="B9" s="99" t="s">
        <v>559</v>
      </c>
      <c r="C9" s="99" t="s">
        <v>43</v>
      </c>
      <c r="D9" s="99" t="s">
        <v>267</v>
      </c>
      <c r="E9" s="96" t="s">
        <v>99</v>
      </c>
      <c r="F9" s="101" t="s">
        <v>852</v>
      </c>
      <c r="G9" s="97">
        <v>280799.99</v>
      </c>
      <c r="H9" s="97">
        <v>255151.68</v>
      </c>
      <c r="I9" s="97">
        <v>3085.83</v>
      </c>
      <c r="J9" s="97">
        <v>249671.91</v>
      </c>
      <c r="K9" s="97">
        <v>195996.36</v>
      </c>
      <c r="L9" s="97">
        <v>53675.55</v>
      </c>
      <c r="M9" s="98">
        <v>0.78500000000000003</v>
      </c>
      <c r="N9" s="99" t="s">
        <v>41</v>
      </c>
      <c r="O9" s="84" t="s">
        <v>286</v>
      </c>
      <c r="P9" s="76">
        <v>1</v>
      </c>
    </row>
    <row r="10" spans="1:16" s="48" customFormat="1">
      <c r="A10" s="96" t="s">
        <v>287</v>
      </c>
      <c r="B10" s="99" t="s">
        <v>560</v>
      </c>
      <c r="C10" s="99" t="s">
        <v>43</v>
      </c>
      <c r="D10" s="99" t="s">
        <v>288</v>
      </c>
      <c r="E10" s="96" t="s">
        <v>99</v>
      </c>
      <c r="F10" s="101" t="s">
        <v>852</v>
      </c>
      <c r="G10" s="97">
        <v>61600</v>
      </c>
      <c r="H10" s="97">
        <v>61061.94</v>
      </c>
      <c r="I10" s="97">
        <v>1028.96</v>
      </c>
      <c r="J10" s="97">
        <v>59610.86</v>
      </c>
      <c r="K10" s="97">
        <v>38181.699999999997</v>
      </c>
      <c r="L10" s="97">
        <v>21429.18</v>
      </c>
      <c r="M10" s="98">
        <v>0.64100000000000001</v>
      </c>
      <c r="N10" s="99" t="s">
        <v>41</v>
      </c>
      <c r="O10" s="84" t="s">
        <v>289</v>
      </c>
      <c r="P10" s="76">
        <v>1</v>
      </c>
    </row>
    <row r="11" spans="1:16" s="48" customFormat="1">
      <c r="A11" s="96" t="s">
        <v>311</v>
      </c>
      <c r="B11" s="99" t="s">
        <v>561</v>
      </c>
      <c r="C11" s="99" t="s">
        <v>43</v>
      </c>
      <c r="D11" s="99" t="s">
        <v>267</v>
      </c>
      <c r="E11" s="96" t="s">
        <v>99</v>
      </c>
      <c r="F11" s="101" t="s">
        <v>852</v>
      </c>
      <c r="G11" s="97">
        <v>124800</v>
      </c>
      <c r="H11" s="97">
        <v>113400.75</v>
      </c>
      <c r="I11" s="97">
        <v>1766.07</v>
      </c>
      <c r="J11" s="97">
        <v>109922.4</v>
      </c>
      <c r="K11" s="97">
        <v>75316.12</v>
      </c>
      <c r="L11" s="97">
        <v>34606.28</v>
      </c>
      <c r="M11" s="98">
        <v>0.68500000000000005</v>
      </c>
      <c r="N11" s="99" t="s">
        <v>41</v>
      </c>
      <c r="O11" s="84" t="s">
        <v>312</v>
      </c>
      <c r="P11" s="76">
        <v>1</v>
      </c>
    </row>
    <row r="12" spans="1:16" s="48" customFormat="1">
      <c r="A12" s="96" t="s">
        <v>418</v>
      </c>
      <c r="B12" s="99" t="s">
        <v>562</v>
      </c>
      <c r="C12" s="99" t="s">
        <v>43</v>
      </c>
      <c r="D12" s="99" t="s">
        <v>267</v>
      </c>
      <c r="E12" s="96" t="s">
        <v>99</v>
      </c>
      <c r="F12" s="101" t="s">
        <v>852</v>
      </c>
      <c r="G12" s="97">
        <v>172800</v>
      </c>
      <c r="H12" s="97">
        <v>157016.42000000001</v>
      </c>
      <c r="I12" s="97">
        <v>3764.5</v>
      </c>
      <c r="J12" s="97">
        <v>152699.24</v>
      </c>
      <c r="K12" s="97">
        <v>123083.26</v>
      </c>
      <c r="L12" s="97">
        <v>29615.98</v>
      </c>
      <c r="M12" s="98">
        <v>0.80600000000000005</v>
      </c>
      <c r="N12" s="99" t="s">
        <v>41</v>
      </c>
      <c r="O12" s="84" t="s">
        <v>419</v>
      </c>
      <c r="P12" s="76">
        <v>1</v>
      </c>
    </row>
    <row r="13" spans="1:16" s="48" customFormat="1">
      <c r="A13" s="96" t="s">
        <v>443</v>
      </c>
      <c r="B13" s="99" t="s">
        <v>563</v>
      </c>
      <c r="C13" s="99" t="s">
        <v>43</v>
      </c>
      <c r="D13" s="99" t="s">
        <v>267</v>
      </c>
      <c r="E13" s="96" t="s">
        <v>99</v>
      </c>
      <c r="F13" s="101" t="s">
        <v>852</v>
      </c>
      <c r="G13" s="97">
        <v>145600</v>
      </c>
      <c r="H13" s="97">
        <v>130695.64</v>
      </c>
      <c r="I13" s="97">
        <v>703.71</v>
      </c>
      <c r="J13" s="97">
        <v>127997.28</v>
      </c>
      <c r="K13" s="97">
        <v>75982.429999999993</v>
      </c>
      <c r="L13" s="97">
        <v>52014.86</v>
      </c>
      <c r="M13" s="98">
        <v>0.59399999999999997</v>
      </c>
      <c r="N13" s="99" t="s">
        <v>41</v>
      </c>
      <c r="O13" s="84" t="s">
        <v>444</v>
      </c>
      <c r="P13" s="76">
        <v>1</v>
      </c>
    </row>
    <row r="14" spans="1:16" s="48" customFormat="1">
      <c r="A14" s="96" t="s">
        <v>545</v>
      </c>
      <c r="B14" s="99" t="s">
        <v>546</v>
      </c>
      <c r="C14" s="99" t="s">
        <v>43</v>
      </c>
      <c r="D14" s="99" t="s">
        <v>267</v>
      </c>
      <c r="E14" s="96" t="s">
        <v>99</v>
      </c>
      <c r="F14" s="101" t="s">
        <v>852</v>
      </c>
      <c r="G14" s="97">
        <v>470400</v>
      </c>
      <c r="H14" s="97">
        <v>423055.28</v>
      </c>
      <c r="I14" s="97">
        <v>309.37</v>
      </c>
      <c r="J14" s="97">
        <v>419043.13</v>
      </c>
      <c r="K14" s="97">
        <v>76499.81</v>
      </c>
      <c r="L14" s="97">
        <v>342543.32</v>
      </c>
      <c r="M14" s="98">
        <v>0.183</v>
      </c>
      <c r="N14" s="99" t="s">
        <v>41</v>
      </c>
      <c r="O14" s="84" t="s">
        <v>547</v>
      </c>
      <c r="P14" s="76">
        <v>1</v>
      </c>
    </row>
    <row r="15" spans="1:16" s="48" customFormat="1">
      <c r="A15" s="96" t="s">
        <v>847</v>
      </c>
      <c r="B15" s="96" t="s">
        <v>849</v>
      </c>
      <c r="C15" s="96" t="s">
        <v>43</v>
      </c>
      <c r="D15" s="99" t="s">
        <v>806</v>
      </c>
      <c r="E15" s="96" t="s">
        <v>99</v>
      </c>
      <c r="F15" s="101" t="s">
        <v>852</v>
      </c>
      <c r="G15" s="97">
        <v>402688</v>
      </c>
      <c r="H15" s="97">
        <v>365237.8</v>
      </c>
      <c r="I15" s="97">
        <v>213.14</v>
      </c>
      <c r="J15" s="97">
        <v>362067.20000000001</v>
      </c>
      <c r="K15" s="97">
        <v>65596.42</v>
      </c>
      <c r="L15" s="97">
        <v>296470.78000000003</v>
      </c>
      <c r="M15" s="98">
        <v>0.18099999999999999</v>
      </c>
      <c r="N15" s="99" t="s">
        <v>41</v>
      </c>
      <c r="O15" s="84" t="s">
        <v>823</v>
      </c>
      <c r="P15" s="76">
        <v>1</v>
      </c>
    </row>
    <row r="16" spans="1:16" s="48" customFormat="1">
      <c r="A16" s="96" t="s">
        <v>846</v>
      </c>
      <c r="B16" s="96" t="s">
        <v>848</v>
      </c>
      <c r="C16" s="96" t="s">
        <v>43</v>
      </c>
      <c r="D16" s="99" t="s">
        <v>806</v>
      </c>
      <c r="E16" s="96" t="s">
        <v>99</v>
      </c>
      <c r="F16" s="101" t="s">
        <v>852</v>
      </c>
      <c r="G16" s="97">
        <v>431232</v>
      </c>
      <c r="H16" s="97">
        <v>384258.46</v>
      </c>
      <c r="I16" s="97">
        <v>218.16</v>
      </c>
      <c r="J16" s="97">
        <v>383742.64</v>
      </c>
      <c r="K16" s="97">
        <v>1720.77</v>
      </c>
      <c r="L16" s="97">
        <v>382021.86</v>
      </c>
      <c r="M16" s="98">
        <v>4.0000000000000001E-3</v>
      </c>
      <c r="N16" s="99" t="s">
        <v>41</v>
      </c>
      <c r="O16" s="84" t="s">
        <v>823</v>
      </c>
      <c r="P16" s="76">
        <v>1</v>
      </c>
    </row>
    <row r="17" spans="1:16" s="48" customFormat="1">
      <c r="A17" s="96" t="s">
        <v>179</v>
      </c>
      <c r="B17" s="99" t="s">
        <v>564</v>
      </c>
      <c r="C17" s="99" t="s">
        <v>43</v>
      </c>
      <c r="D17" s="99" t="s">
        <v>77</v>
      </c>
      <c r="E17" s="96" t="s">
        <v>101</v>
      </c>
      <c r="F17" s="101" t="s">
        <v>850</v>
      </c>
      <c r="G17" s="97">
        <v>52036.11</v>
      </c>
      <c r="H17" s="97">
        <v>48733.17</v>
      </c>
      <c r="I17" s="97">
        <v>504.77</v>
      </c>
      <c r="J17" s="97">
        <v>48171.38</v>
      </c>
      <c r="K17" s="97">
        <v>33797.040000000001</v>
      </c>
      <c r="L17" s="97">
        <v>14374.34</v>
      </c>
      <c r="M17" s="98">
        <v>0.70199999999999996</v>
      </c>
      <c r="N17" s="99" t="s">
        <v>44</v>
      </c>
      <c r="O17" s="84" t="s">
        <v>178</v>
      </c>
      <c r="P17" s="76">
        <v>1</v>
      </c>
    </row>
    <row r="18" spans="1:16" s="48" customFormat="1">
      <c r="A18" s="96" t="s">
        <v>179</v>
      </c>
      <c r="B18" s="99" t="s">
        <v>564</v>
      </c>
      <c r="C18" s="99" t="s">
        <v>43</v>
      </c>
      <c r="D18" s="99" t="s">
        <v>77</v>
      </c>
      <c r="E18" s="96" t="s">
        <v>99</v>
      </c>
      <c r="F18" s="101" t="s">
        <v>850</v>
      </c>
      <c r="G18" s="97">
        <v>22123.89</v>
      </c>
      <c r="H18" s="97">
        <v>20607.21</v>
      </c>
      <c r="I18" s="97">
        <v>203.04</v>
      </c>
      <c r="J18" s="97">
        <v>20376.8</v>
      </c>
      <c r="K18" s="97">
        <v>12681.31</v>
      </c>
      <c r="L18" s="97">
        <v>7695.49</v>
      </c>
      <c r="M18" s="98">
        <v>0.622</v>
      </c>
      <c r="N18" s="99" t="s">
        <v>44</v>
      </c>
      <c r="O18" s="84" t="s">
        <v>178</v>
      </c>
      <c r="P18" s="75"/>
    </row>
    <row r="19" spans="1:16" s="48" customFormat="1">
      <c r="A19" s="96" t="s">
        <v>167</v>
      </c>
      <c r="B19" s="99" t="s">
        <v>565</v>
      </c>
      <c r="C19" s="99" t="s">
        <v>43</v>
      </c>
      <c r="D19" s="99" t="s">
        <v>77</v>
      </c>
      <c r="E19" s="96" t="s">
        <v>98</v>
      </c>
      <c r="F19" s="101" t="s">
        <v>850</v>
      </c>
      <c r="G19" s="97">
        <v>68912</v>
      </c>
      <c r="H19" s="97">
        <v>64537.88</v>
      </c>
      <c r="I19" s="97">
        <v>731.13</v>
      </c>
      <c r="J19" s="97">
        <v>63731.55</v>
      </c>
      <c r="K19" s="97">
        <v>44100.45</v>
      </c>
      <c r="L19" s="97">
        <v>19631.099999999999</v>
      </c>
      <c r="M19" s="98">
        <v>0.69199999999999995</v>
      </c>
      <c r="N19" s="99" t="s">
        <v>41</v>
      </c>
      <c r="O19" s="84" t="s">
        <v>168</v>
      </c>
      <c r="P19" s="76">
        <v>1</v>
      </c>
    </row>
    <row r="20" spans="1:16" s="48" customFormat="1">
      <c r="A20" s="96" t="s">
        <v>167</v>
      </c>
      <c r="B20" s="99" t="s">
        <v>565</v>
      </c>
      <c r="C20" s="99" t="s">
        <v>43</v>
      </c>
      <c r="D20" s="99" t="s">
        <v>77</v>
      </c>
      <c r="E20" s="96" t="s">
        <v>99</v>
      </c>
      <c r="F20" s="101" t="s">
        <v>850</v>
      </c>
      <c r="G20" s="97">
        <v>60000</v>
      </c>
      <c r="H20" s="97">
        <v>55879.35</v>
      </c>
      <c r="I20" s="97">
        <v>898.23</v>
      </c>
      <c r="J20" s="97">
        <v>54915.68</v>
      </c>
      <c r="K20" s="97">
        <v>38653.019999999997</v>
      </c>
      <c r="L20" s="97">
        <v>16262.66</v>
      </c>
      <c r="M20" s="98">
        <v>0.70399999999999996</v>
      </c>
      <c r="N20" s="99" t="s">
        <v>41</v>
      </c>
      <c r="O20" s="84" t="s">
        <v>168</v>
      </c>
      <c r="P20" s="75"/>
    </row>
    <row r="21" spans="1:16" s="48" customFormat="1">
      <c r="A21" s="96" t="s">
        <v>197</v>
      </c>
      <c r="B21" s="99" t="s">
        <v>566</v>
      </c>
      <c r="C21" s="99" t="s">
        <v>43</v>
      </c>
      <c r="D21" s="99" t="s">
        <v>77</v>
      </c>
      <c r="E21" s="96" t="s">
        <v>101</v>
      </c>
      <c r="F21" s="101" t="s">
        <v>850</v>
      </c>
      <c r="G21" s="97">
        <v>44658.3</v>
      </c>
      <c r="H21" s="97">
        <v>41823.660000000003</v>
      </c>
      <c r="I21" s="97">
        <v>346.34</v>
      </c>
      <c r="J21" s="97">
        <v>41428.31</v>
      </c>
      <c r="K21" s="97">
        <v>32910.69</v>
      </c>
      <c r="L21" s="97">
        <v>8517.6200000000008</v>
      </c>
      <c r="M21" s="98">
        <v>0.79400000000000004</v>
      </c>
      <c r="N21" s="99" t="s">
        <v>44</v>
      </c>
      <c r="O21" s="84" t="s">
        <v>198</v>
      </c>
      <c r="P21" s="76">
        <v>1</v>
      </c>
    </row>
    <row r="22" spans="1:16" s="48" customFormat="1">
      <c r="A22" s="96" t="s">
        <v>197</v>
      </c>
      <c r="B22" s="99" t="s">
        <v>566</v>
      </c>
      <c r="C22" s="99" t="s">
        <v>43</v>
      </c>
      <c r="D22" s="99" t="s">
        <v>77</v>
      </c>
      <c r="E22" s="96" t="s">
        <v>98</v>
      </c>
      <c r="F22" s="101" t="s">
        <v>850</v>
      </c>
      <c r="G22" s="97">
        <v>3229.7</v>
      </c>
      <c r="H22" s="97">
        <v>3024.7</v>
      </c>
      <c r="I22" s="97">
        <v>25.05</v>
      </c>
      <c r="J22" s="97">
        <v>2996.11</v>
      </c>
      <c r="K22" s="97">
        <v>2809.01</v>
      </c>
      <c r="L22" s="97">
        <v>187.1</v>
      </c>
      <c r="M22" s="98">
        <v>0.93799999999999994</v>
      </c>
      <c r="N22" s="99" t="s">
        <v>44</v>
      </c>
      <c r="O22" s="84" t="s">
        <v>198</v>
      </c>
      <c r="P22" s="75"/>
    </row>
    <row r="23" spans="1:16" s="48" customFormat="1">
      <c r="A23" s="96" t="s">
        <v>197</v>
      </c>
      <c r="B23" s="99" t="s">
        <v>566</v>
      </c>
      <c r="C23" s="99" t="s">
        <v>43</v>
      </c>
      <c r="D23" s="99" t="s">
        <v>77</v>
      </c>
      <c r="E23" s="96" t="s">
        <v>99</v>
      </c>
      <c r="F23" s="101" t="s">
        <v>850</v>
      </c>
      <c r="G23" s="97">
        <v>19200</v>
      </c>
      <c r="H23" s="97">
        <v>17881.39</v>
      </c>
      <c r="I23" s="97">
        <v>172.25</v>
      </c>
      <c r="J23" s="97">
        <v>17688.07</v>
      </c>
      <c r="K23" s="97">
        <v>15839.1</v>
      </c>
      <c r="L23" s="97">
        <v>1848.96</v>
      </c>
      <c r="M23" s="98">
        <v>0.89500000000000002</v>
      </c>
      <c r="N23" s="99" t="s">
        <v>44</v>
      </c>
      <c r="O23" s="84" t="s">
        <v>198</v>
      </c>
      <c r="P23" s="75"/>
    </row>
    <row r="24" spans="1:16" s="48" customFormat="1">
      <c r="A24" s="99" t="s">
        <v>105</v>
      </c>
      <c r="B24" s="99" t="s">
        <v>567</v>
      </c>
      <c r="C24" s="99" t="s">
        <v>43</v>
      </c>
      <c r="D24" s="99" t="s">
        <v>75</v>
      </c>
      <c r="E24" s="96" t="s">
        <v>99</v>
      </c>
      <c r="F24" s="101" t="s">
        <v>450</v>
      </c>
      <c r="G24" s="97">
        <v>57600</v>
      </c>
      <c r="H24" s="97">
        <v>51533.599999999999</v>
      </c>
      <c r="I24" s="97">
        <v>0</v>
      </c>
      <c r="J24" s="97">
        <v>51533.53</v>
      </c>
      <c r="K24" s="97">
        <v>35971.67</v>
      </c>
      <c r="L24" s="97">
        <v>15561.86</v>
      </c>
      <c r="M24" s="98">
        <v>0.69799999999999995</v>
      </c>
      <c r="N24" s="99" t="s">
        <v>41</v>
      </c>
      <c r="O24" s="84" t="s">
        <v>292</v>
      </c>
      <c r="P24" s="76">
        <v>1</v>
      </c>
    </row>
    <row r="25" spans="1:16" s="48" customFormat="1">
      <c r="A25" s="99" t="s">
        <v>386</v>
      </c>
      <c r="B25" s="99" t="s">
        <v>568</v>
      </c>
      <c r="C25" s="99" t="s">
        <v>43</v>
      </c>
      <c r="D25" s="99" t="s">
        <v>387</v>
      </c>
      <c r="E25" s="96" t="s">
        <v>99</v>
      </c>
      <c r="F25" s="101" t="s">
        <v>858</v>
      </c>
      <c r="G25" s="97">
        <v>216000</v>
      </c>
      <c r="H25" s="97">
        <v>193250.99</v>
      </c>
      <c r="I25" s="97">
        <v>0</v>
      </c>
      <c r="J25" s="97">
        <v>193250.48</v>
      </c>
      <c r="K25" s="97">
        <v>130873.8</v>
      </c>
      <c r="L25" s="97">
        <v>62376.68</v>
      </c>
      <c r="M25" s="98">
        <v>0.67700000000000005</v>
      </c>
      <c r="N25" s="99" t="s">
        <v>41</v>
      </c>
      <c r="O25" s="84" t="s">
        <v>374</v>
      </c>
      <c r="P25" s="76">
        <v>1</v>
      </c>
    </row>
    <row r="26" spans="1:16" s="48" customFormat="1">
      <c r="A26" s="99" t="s">
        <v>388</v>
      </c>
      <c r="B26" s="99" t="s">
        <v>569</v>
      </c>
      <c r="C26" s="99" t="s">
        <v>43</v>
      </c>
      <c r="D26" s="99" t="s">
        <v>387</v>
      </c>
      <c r="E26" s="96" t="s">
        <v>99</v>
      </c>
      <c r="F26" s="101" t="s">
        <v>858</v>
      </c>
      <c r="G26" s="97">
        <v>216000</v>
      </c>
      <c r="H26" s="97">
        <v>193250.99</v>
      </c>
      <c r="I26" s="97">
        <v>0</v>
      </c>
      <c r="J26" s="97">
        <v>193250.48</v>
      </c>
      <c r="K26" s="97">
        <v>109649.5</v>
      </c>
      <c r="L26" s="97">
        <v>83600.98</v>
      </c>
      <c r="M26" s="98">
        <v>0.56699999999999995</v>
      </c>
      <c r="N26" s="99" t="s">
        <v>41</v>
      </c>
      <c r="O26" s="84" t="s">
        <v>374</v>
      </c>
      <c r="P26" s="76">
        <v>1</v>
      </c>
    </row>
    <row r="27" spans="1:16" s="48" customFormat="1">
      <c r="A27" s="96" t="s">
        <v>234</v>
      </c>
      <c r="B27" s="99" t="s">
        <v>570</v>
      </c>
      <c r="C27" s="99" t="s">
        <v>43</v>
      </c>
      <c r="D27" s="99" t="s">
        <v>214</v>
      </c>
      <c r="E27" s="96" t="s">
        <v>99</v>
      </c>
      <c r="F27" s="101" t="s">
        <v>203</v>
      </c>
      <c r="G27" s="97">
        <v>32100</v>
      </c>
      <c r="H27" s="97">
        <v>28676</v>
      </c>
      <c r="I27" s="97">
        <v>7983</v>
      </c>
      <c r="J27" s="97">
        <v>19390.71</v>
      </c>
      <c r="K27" s="97">
        <v>3260.36</v>
      </c>
      <c r="L27" s="97">
        <v>16130.36</v>
      </c>
      <c r="M27" s="98">
        <v>0.16800000000000001</v>
      </c>
      <c r="N27" s="99" t="s">
        <v>41</v>
      </c>
      <c r="O27" s="84" t="s">
        <v>235</v>
      </c>
      <c r="P27" s="76">
        <v>1</v>
      </c>
    </row>
    <row r="28" spans="1:16" s="48" customFormat="1">
      <c r="A28" s="96" t="s">
        <v>201</v>
      </c>
      <c r="B28" s="99" t="s">
        <v>571</v>
      </c>
      <c r="C28" s="99" t="s">
        <v>43</v>
      </c>
      <c r="D28" s="99" t="s">
        <v>107</v>
      </c>
      <c r="E28" s="96" t="s">
        <v>102</v>
      </c>
      <c r="F28" s="101" t="s">
        <v>454</v>
      </c>
      <c r="G28" s="97">
        <v>58000</v>
      </c>
      <c r="H28" s="97">
        <v>53186</v>
      </c>
      <c r="I28" s="97">
        <v>400.01</v>
      </c>
      <c r="J28" s="97">
        <v>49111.17</v>
      </c>
      <c r="K28" s="97">
        <v>34231.17</v>
      </c>
      <c r="L28" s="97">
        <v>14880</v>
      </c>
      <c r="M28" s="98">
        <v>0.69699999999999995</v>
      </c>
      <c r="N28" s="99" t="s">
        <v>41</v>
      </c>
      <c r="O28" s="84" t="s">
        <v>200</v>
      </c>
      <c r="P28" s="76">
        <v>1</v>
      </c>
    </row>
    <row r="29" spans="1:16" s="48" customFormat="1">
      <c r="A29" s="96" t="s">
        <v>278</v>
      </c>
      <c r="B29" s="99" t="s">
        <v>572</v>
      </c>
      <c r="C29" s="99" t="s">
        <v>43</v>
      </c>
      <c r="D29" s="99" t="s">
        <v>107</v>
      </c>
      <c r="E29" s="96" t="s">
        <v>102</v>
      </c>
      <c r="F29" s="101" t="s">
        <v>454</v>
      </c>
      <c r="G29" s="97">
        <v>58000</v>
      </c>
      <c r="H29" s="97">
        <v>53186</v>
      </c>
      <c r="I29" s="97">
        <v>9476.18</v>
      </c>
      <c r="J29" s="97">
        <v>40035</v>
      </c>
      <c r="K29" s="97">
        <v>0</v>
      </c>
      <c r="L29" s="97">
        <v>40035</v>
      </c>
      <c r="M29" s="98">
        <v>0</v>
      </c>
      <c r="N29" s="99" t="s">
        <v>41</v>
      </c>
      <c r="O29" s="84" t="s">
        <v>279</v>
      </c>
      <c r="P29" s="76">
        <v>1</v>
      </c>
    </row>
    <row r="30" spans="1:16" s="48" customFormat="1">
      <c r="A30" s="96" t="s">
        <v>373</v>
      </c>
      <c r="B30" s="99" t="s">
        <v>573</v>
      </c>
      <c r="C30" s="99" t="s">
        <v>43</v>
      </c>
      <c r="D30" s="99" t="s">
        <v>341</v>
      </c>
      <c r="E30" s="96" t="s">
        <v>99</v>
      </c>
      <c r="F30" s="101" t="s">
        <v>375</v>
      </c>
      <c r="G30" s="97">
        <v>9130</v>
      </c>
      <c r="H30" s="97">
        <v>8169</v>
      </c>
      <c r="I30" s="97">
        <v>66.38</v>
      </c>
      <c r="J30" s="97">
        <v>6206.67</v>
      </c>
      <c r="K30" s="97">
        <v>6206.67</v>
      </c>
      <c r="L30" s="97">
        <v>0</v>
      </c>
      <c r="M30" s="98">
        <v>1</v>
      </c>
      <c r="N30" s="99" t="s">
        <v>41</v>
      </c>
      <c r="O30" s="127" t="s">
        <v>374</v>
      </c>
      <c r="P30" s="76">
        <v>1</v>
      </c>
    </row>
    <row r="31" spans="1:16">
      <c r="E31" s="135"/>
      <c r="G31" s="137"/>
      <c r="J31" s="137"/>
      <c r="K31" s="137"/>
      <c r="L31" s="137"/>
      <c r="P31" s="85"/>
    </row>
    <row r="32" spans="1:16">
      <c r="A32" s="104" t="s">
        <v>72</v>
      </c>
      <c r="B32" s="105"/>
      <c r="C32" s="105"/>
      <c r="D32" s="105"/>
      <c r="E32" s="139"/>
      <c r="F32" s="140"/>
      <c r="G32" s="106"/>
      <c r="H32" s="106"/>
      <c r="I32" s="106"/>
      <c r="J32" s="106"/>
      <c r="K32" s="106"/>
      <c r="L32" s="106"/>
      <c r="M32" s="107"/>
      <c r="N32" s="105"/>
      <c r="O32" s="105"/>
      <c r="P32" s="85"/>
    </row>
    <row r="33" spans="1:16" s="48" customFormat="1">
      <c r="A33" s="96" t="s">
        <v>382</v>
      </c>
      <c r="B33" s="99" t="s">
        <v>574</v>
      </c>
      <c r="C33" s="99" t="s">
        <v>383</v>
      </c>
      <c r="D33" s="99" t="s">
        <v>214</v>
      </c>
      <c r="E33" s="96" t="s">
        <v>99</v>
      </c>
      <c r="F33" s="101" t="s">
        <v>228</v>
      </c>
      <c r="G33" s="97">
        <v>9130</v>
      </c>
      <c r="H33" s="97">
        <v>8169</v>
      </c>
      <c r="I33" s="97">
        <v>395.37</v>
      </c>
      <c r="J33" s="97">
        <v>7117.83</v>
      </c>
      <c r="K33" s="97">
        <v>7117.83</v>
      </c>
      <c r="L33" s="97">
        <v>0</v>
      </c>
      <c r="M33" s="98">
        <v>1</v>
      </c>
      <c r="N33" s="99" t="s">
        <v>41</v>
      </c>
      <c r="O33" s="127" t="s">
        <v>374</v>
      </c>
      <c r="P33" s="85">
        <v>1</v>
      </c>
    </row>
    <row r="34" spans="1:16">
      <c r="A34" s="103"/>
      <c r="B34" s="103"/>
      <c r="C34" s="103"/>
      <c r="D34" s="103"/>
      <c r="E34" s="141"/>
      <c r="F34" s="142"/>
      <c r="G34" s="143"/>
      <c r="H34" s="143"/>
      <c r="I34" s="143"/>
      <c r="J34" s="143"/>
      <c r="K34" s="143"/>
      <c r="L34" s="143"/>
      <c r="M34" s="144"/>
      <c r="N34" s="103"/>
      <c r="O34" s="103"/>
      <c r="P34" s="85"/>
    </row>
    <row r="35" spans="1:16">
      <c r="A35" s="108" t="s">
        <v>233</v>
      </c>
      <c r="B35" s="105"/>
      <c r="C35" s="105"/>
      <c r="D35" s="105"/>
      <c r="E35" s="139"/>
      <c r="F35" s="140"/>
      <c r="G35" s="106"/>
      <c r="H35" s="106"/>
      <c r="I35" s="106"/>
      <c r="J35" s="106"/>
      <c r="K35" s="106"/>
      <c r="L35" s="106"/>
      <c r="M35" s="107"/>
      <c r="N35" s="105"/>
      <c r="O35" s="105"/>
      <c r="P35" s="85"/>
    </row>
    <row r="36" spans="1:16" s="48" customFormat="1">
      <c r="A36" s="96" t="s">
        <v>74</v>
      </c>
      <c r="B36" s="99" t="s">
        <v>575</v>
      </c>
      <c r="C36" s="99" t="s">
        <v>205</v>
      </c>
      <c r="D36" s="99" t="s">
        <v>45</v>
      </c>
      <c r="E36" s="96" t="s">
        <v>98</v>
      </c>
      <c r="F36" s="101" t="s">
        <v>850</v>
      </c>
      <c r="G36" s="97">
        <v>57232</v>
      </c>
      <c r="H36" s="97">
        <v>53599.26</v>
      </c>
      <c r="I36" s="97">
        <v>502.25</v>
      </c>
      <c r="J36" s="97">
        <v>53034.15</v>
      </c>
      <c r="K36" s="97">
        <v>3944.33</v>
      </c>
      <c r="L36" s="97">
        <v>49089.81</v>
      </c>
      <c r="M36" s="98">
        <v>7.3999999999999996E-2</v>
      </c>
      <c r="N36" s="99" t="s">
        <v>42</v>
      </c>
      <c r="O36" s="99"/>
      <c r="P36" s="77">
        <v>1</v>
      </c>
    </row>
    <row r="37" spans="1:16" s="48" customFormat="1">
      <c r="A37" s="96" t="s">
        <v>74</v>
      </c>
      <c r="B37" s="99" t="s">
        <v>575</v>
      </c>
      <c r="C37" s="99" t="s">
        <v>205</v>
      </c>
      <c r="D37" s="99" t="s">
        <v>45</v>
      </c>
      <c r="E37" s="96" t="s">
        <v>99</v>
      </c>
      <c r="F37" s="101" t="s">
        <v>850</v>
      </c>
      <c r="G37" s="97">
        <v>81000</v>
      </c>
      <c r="H37" s="97">
        <v>75437.119999999995</v>
      </c>
      <c r="I37" s="97">
        <v>2678.96</v>
      </c>
      <c r="J37" s="97">
        <v>72671.850000000006</v>
      </c>
      <c r="K37" s="97">
        <v>17062.099999999999</v>
      </c>
      <c r="L37" s="97">
        <v>55609.75</v>
      </c>
      <c r="M37" s="98">
        <v>0.23499999999999999</v>
      </c>
      <c r="N37" s="99" t="s">
        <v>42</v>
      </c>
      <c r="O37" s="99"/>
      <c r="P37" s="85"/>
    </row>
    <row r="38" spans="1:16" s="48" customFormat="1">
      <c r="A38" s="96" t="s">
        <v>103</v>
      </c>
      <c r="B38" s="99" t="s">
        <v>576</v>
      </c>
      <c r="C38" s="99" t="s">
        <v>205</v>
      </c>
      <c r="D38" s="99" t="s">
        <v>77</v>
      </c>
      <c r="E38" s="96" t="s">
        <v>98</v>
      </c>
      <c r="F38" s="101" t="s">
        <v>850</v>
      </c>
      <c r="G38" s="97">
        <v>128480</v>
      </c>
      <c r="H38" s="97">
        <v>120324.87</v>
      </c>
      <c r="I38" s="97">
        <v>1348.78</v>
      </c>
      <c r="J38" s="97">
        <v>118835.17</v>
      </c>
      <c r="K38" s="97">
        <v>114391.56</v>
      </c>
      <c r="L38" s="97">
        <v>4443.6099999999997</v>
      </c>
      <c r="M38" s="98">
        <v>0.96299999999999997</v>
      </c>
      <c r="N38" s="99" t="s">
        <v>42</v>
      </c>
      <c r="O38" s="99" t="s">
        <v>117</v>
      </c>
      <c r="P38" s="85">
        <v>1</v>
      </c>
    </row>
    <row r="39" spans="1:16" s="48" customFormat="1">
      <c r="A39" s="96" t="s">
        <v>110</v>
      </c>
      <c r="B39" s="99" t="s">
        <v>577</v>
      </c>
      <c r="C39" s="99" t="s">
        <v>205</v>
      </c>
      <c r="D39" s="99" t="s">
        <v>77</v>
      </c>
      <c r="E39" s="96" t="s">
        <v>99</v>
      </c>
      <c r="F39" s="101" t="s">
        <v>850</v>
      </c>
      <c r="G39" s="97">
        <v>105600</v>
      </c>
      <c r="H39" s="97">
        <v>98347.66</v>
      </c>
      <c r="I39" s="97">
        <v>1467.12</v>
      </c>
      <c r="J39" s="97">
        <v>96765.59</v>
      </c>
      <c r="K39" s="97">
        <v>93108.29</v>
      </c>
      <c r="L39" s="97">
        <v>3657.3</v>
      </c>
      <c r="M39" s="98">
        <v>0.96199999999999997</v>
      </c>
      <c r="N39" s="99" t="s">
        <v>42</v>
      </c>
      <c r="O39" s="96" t="s">
        <v>118</v>
      </c>
      <c r="P39" s="85">
        <v>1</v>
      </c>
    </row>
    <row r="40" spans="1:16" s="48" customFormat="1">
      <c r="A40" s="96" t="s">
        <v>180</v>
      </c>
      <c r="B40" s="99" t="s">
        <v>578</v>
      </c>
      <c r="C40" s="99" t="s">
        <v>205</v>
      </c>
      <c r="D40" s="99" t="s">
        <v>77</v>
      </c>
      <c r="E40" s="96" t="s">
        <v>98</v>
      </c>
      <c r="F40" s="101" t="s">
        <v>850</v>
      </c>
      <c r="G40" s="97">
        <v>131984</v>
      </c>
      <c r="H40" s="97">
        <v>123606.45</v>
      </c>
      <c r="I40" s="97">
        <v>1256.78</v>
      </c>
      <c r="J40" s="97">
        <v>122204.77</v>
      </c>
      <c r="K40" s="97">
        <v>111611.36</v>
      </c>
      <c r="L40" s="97">
        <v>10593.41</v>
      </c>
      <c r="M40" s="98">
        <v>0.91300000000000003</v>
      </c>
      <c r="N40" s="99" t="s">
        <v>42</v>
      </c>
      <c r="O40" s="96" t="s">
        <v>178</v>
      </c>
      <c r="P40" s="85">
        <v>1</v>
      </c>
    </row>
    <row r="41" spans="1:16" s="48" customFormat="1">
      <c r="A41" s="96" t="s">
        <v>181</v>
      </c>
      <c r="B41" s="99" t="s">
        <v>579</v>
      </c>
      <c r="C41" s="99" t="s">
        <v>205</v>
      </c>
      <c r="D41" s="99" t="s">
        <v>77</v>
      </c>
      <c r="E41" s="96" t="s">
        <v>99</v>
      </c>
      <c r="F41" s="101" t="s">
        <v>850</v>
      </c>
      <c r="G41" s="97">
        <v>139200</v>
      </c>
      <c r="H41" s="97">
        <v>129640.1</v>
      </c>
      <c r="I41" s="97">
        <v>1974.55</v>
      </c>
      <c r="J41" s="97">
        <v>127513.98</v>
      </c>
      <c r="K41" s="97">
        <v>115251.51</v>
      </c>
      <c r="L41" s="97">
        <v>12262.47</v>
      </c>
      <c r="M41" s="98">
        <v>0.90400000000000003</v>
      </c>
      <c r="N41" s="99" t="s">
        <v>42</v>
      </c>
      <c r="O41" s="96" t="s">
        <v>178</v>
      </c>
      <c r="P41" s="85">
        <v>1</v>
      </c>
    </row>
    <row r="42" spans="1:16" s="48" customFormat="1">
      <c r="A42" s="96" t="s">
        <v>273</v>
      </c>
      <c r="B42" s="99" t="s">
        <v>580</v>
      </c>
      <c r="C42" s="99" t="s">
        <v>205</v>
      </c>
      <c r="D42" s="99" t="s">
        <v>267</v>
      </c>
      <c r="E42" s="96" t="s">
        <v>99</v>
      </c>
      <c r="F42" s="101" t="s">
        <v>852</v>
      </c>
      <c r="G42" s="97">
        <v>259200.01</v>
      </c>
      <c r="H42" s="97">
        <v>235524.63</v>
      </c>
      <c r="I42" s="97">
        <v>3455.77</v>
      </c>
      <c r="J42" s="97">
        <v>230155.15</v>
      </c>
      <c r="K42" s="97">
        <v>185915.86</v>
      </c>
      <c r="L42" s="97">
        <v>44239.29</v>
      </c>
      <c r="M42" s="98">
        <v>0.80800000000000005</v>
      </c>
      <c r="N42" s="99" t="s">
        <v>42</v>
      </c>
      <c r="O42" s="96" t="s">
        <v>269</v>
      </c>
      <c r="P42" s="77">
        <v>1</v>
      </c>
    </row>
    <row r="43" spans="1:16" s="48" customFormat="1">
      <c r="A43" s="96" t="s">
        <v>274</v>
      </c>
      <c r="B43" s="99" t="s">
        <v>581</v>
      </c>
      <c r="C43" s="99" t="s">
        <v>205</v>
      </c>
      <c r="D43" s="99" t="s">
        <v>267</v>
      </c>
      <c r="E43" s="96" t="s">
        <v>99</v>
      </c>
      <c r="F43" s="101" t="s">
        <v>852</v>
      </c>
      <c r="G43" s="97">
        <v>259200</v>
      </c>
      <c r="H43" s="97">
        <v>235524.62</v>
      </c>
      <c r="I43" s="97">
        <v>2926.56</v>
      </c>
      <c r="J43" s="97">
        <v>230423.39</v>
      </c>
      <c r="K43" s="97">
        <v>185310.68</v>
      </c>
      <c r="L43" s="97">
        <v>45112.71</v>
      </c>
      <c r="M43" s="98">
        <v>0.80400000000000005</v>
      </c>
      <c r="N43" s="99" t="s">
        <v>42</v>
      </c>
      <c r="O43" s="96" t="s">
        <v>269</v>
      </c>
      <c r="P43" s="85">
        <v>1</v>
      </c>
    </row>
    <row r="44" spans="1:16" s="48" customFormat="1">
      <c r="A44" s="96" t="s">
        <v>313</v>
      </c>
      <c r="B44" s="99" t="s">
        <v>582</v>
      </c>
      <c r="C44" s="99" t="s">
        <v>205</v>
      </c>
      <c r="D44" s="99" t="s">
        <v>267</v>
      </c>
      <c r="E44" s="96" t="s">
        <v>99</v>
      </c>
      <c r="F44" s="101" t="s">
        <v>852</v>
      </c>
      <c r="G44" s="97">
        <v>38400</v>
      </c>
      <c r="H44" s="97">
        <v>34892.54</v>
      </c>
      <c r="I44" s="97">
        <v>600.25</v>
      </c>
      <c r="J44" s="97">
        <v>33766.300000000003</v>
      </c>
      <c r="K44" s="97">
        <v>10241.67</v>
      </c>
      <c r="L44" s="97">
        <v>23524.639999999999</v>
      </c>
      <c r="M44" s="98">
        <v>0.30299999999999999</v>
      </c>
      <c r="N44" s="99" t="s">
        <v>44</v>
      </c>
      <c r="O44" s="96" t="s">
        <v>312</v>
      </c>
      <c r="P44" s="77">
        <v>1</v>
      </c>
    </row>
    <row r="45" spans="1:16" s="48" customFormat="1">
      <c r="A45" s="96" t="s">
        <v>314</v>
      </c>
      <c r="B45" s="99" t="s">
        <v>583</v>
      </c>
      <c r="C45" s="99" t="s">
        <v>205</v>
      </c>
      <c r="D45" s="99" t="s">
        <v>267</v>
      </c>
      <c r="E45" s="96" t="s">
        <v>99</v>
      </c>
      <c r="F45" s="101" t="s">
        <v>851</v>
      </c>
      <c r="G45" s="97">
        <v>168000</v>
      </c>
      <c r="H45" s="97">
        <v>152654.85</v>
      </c>
      <c r="I45" s="97">
        <v>6233.13</v>
      </c>
      <c r="J45" s="97">
        <v>144174.32999999999</v>
      </c>
      <c r="K45" s="97">
        <v>118217.44</v>
      </c>
      <c r="L45" s="97">
        <v>25956.89</v>
      </c>
      <c r="M45" s="98">
        <v>0.82</v>
      </c>
      <c r="N45" s="99" t="s">
        <v>42</v>
      </c>
      <c r="O45" s="96" t="s">
        <v>312</v>
      </c>
      <c r="P45" s="77">
        <v>1</v>
      </c>
    </row>
    <row r="46" spans="1:16" s="48" customFormat="1">
      <c r="A46" s="96" t="s">
        <v>315</v>
      </c>
      <c r="B46" s="99" t="s">
        <v>584</v>
      </c>
      <c r="C46" s="99" t="s">
        <v>205</v>
      </c>
      <c r="D46" s="99" t="s">
        <v>267</v>
      </c>
      <c r="E46" s="96" t="s">
        <v>99</v>
      </c>
      <c r="F46" s="101" t="s">
        <v>852</v>
      </c>
      <c r="G46" s="97">
        <v>240000</v>
      </c>
      <c r="H46" s="97">
        <v>218078.37</v>
      </c>
      <c r="I46" s="97">
        <v>3101.03</v>
      </c>
      <c r="J46" s="97">
        <v>211673.12</v>
      </c>
      <c r="K46" s="97">
        <v>198079.59</v>
      </c>
      <c r="L46" s="97">
        <v>13593.53</v>
      </c>
      <c r="M46" s="98">
        <v>0.93600000000000005</v>
      </c>
      <c r="N46" s="99" t="s">
        <v>42</v>
      </c>
      <c r="O46" s="96" t="s">
        <v>312</v>
      </c>
      <c r="P46" s="85">
        <v>1</v>
      </c>
    </row>
    <row r="47" spans="1:16" s="48" customFormat="1">
      <c r="A47" s="96" t="s">
        <v>315</v>
      </c>
      <c r="B47" s="99" t="s">
        <v>584</v>
      </c>
      <c r="C47" s="99" t="s">
        <v>205</v>
      </c>
      <c r="D47" s="99" t="s">
        <v>267</v>
      </c>
      <c r="E47" s="96" t="s">
        <v>102</v>
      </c>
      <c r="F47" s="101" t="s">
        <v>852</v>
      </c>
      <c r="G47" s="97">
        <v>224000</v>
      </c>
      <c r="H47" s="97">
        <v>208659</v>
      </c>
      <c r="I47" s="97">
        <v>188.91</v>
      </c>
      <c r="J47" s="97">
        <v>205262.86</v>
      </c>
      <c r="K47" s="97">
        <v>200835.81</v>
      </c>
      <c r="L47" s="97">
        <v>4427.05</v>
      </c>
      <c r="M47" s="98">
        <v>0.97799999999999998</v>
      </c>
      <c r="N47" s="99" t="s">
        <v>42</v>
      </c>
      <c r="O47" s="96" t="s">
        <v>312</v>
      </c>
      <c r="P47" s="85"/>
    </row>
    <row r="48" spans="1:16" s="48" customFormat="1">
      <c r="A48" s="96" t="s">
        <v>360</v>
      </c>
      <c r="B48" s="99" t="s">
        <v>585</v>
      </c>
      <c r="C48" s="99" t="s">
        <v>205</v>
      </c>
      <c r="D48" s="99" t="s">
        <v>267</v>
      </c>
      <c r="E48" s="96" t="s">
        <v>99</v>
      </c>
      <c r="F48" s="101" t="s">
        <v>851</v>
      </c>
      <c r="G48" s="97">
        <v>316799.99</v>
      </c>
      <c r="H48" s="97">
        <v>287863.44</v>
      </c>
      <c r="I48" s="97">
        <v>3386.6</v>
      </c>
      <c r="J48" s="97">
        <v>281726.32</v>
      </c>
      <c r="K48" s="97">
        <v>234690.83</v>
      </c>
      <c r="L48" s="97">
        <v>47035.5</v>
      </c>
      <c r="M48" s="98">
        <v>0.83299999999999996</v>
      </c>
      <c r="N48" s="99" t="s">
        <v>42</v>
      </c>
      <c r="O48" s="96" t="s">
        <v>361</v>
      </c>
      <c r="P48" s="85">
        <v>1</v>
      </c>
    </row>
    <row r="49" spans="1:16" s="48" customFormat="1">
      <c r="A49" s="96" t="s">
        <v>362</v>
      </c>
      <c r="B49" s="99" t="s">
        <v>586</v>
      </c>
      <c r="C49" s="99" t="s">
        <v>205</v>
      </c>
      <c r="D49" s="99" t="s">
        <v>267</v>
      </c>
      <c r="E49" s="96" t="s">
        <v>99</v>
      </c>
      <c r="F49" s="101" t="s">
        <v>852</v>
      </c>
      <c r="G49" s="97">
        <v>57600</v>
      </c>
      <c r="H49" s="97">
        <v>52338.8</v>
      </c>
      <c r="I49" s="97">
        <v>654.65</v>
      </c>
      <c r="J49" s="97">
        <v>50894.91</v>
      </c>
      <c r="K49" s="97">
        <v>20652.29</v>
      </c>
      <c r="L49" s="97">
        <v>30242.62</v>
      </c>
      <c r="M49" s="98">
        <v>0.40600000000000003</v>
      </c>
      <c r="N49" s="99" t="s">
        <v>44</v>
      </c>
      <c r="O49" s="96" t="s">
        <v>361</v>
      </c>
      <c r="P49" s="77">
        <v>1</v>
      </c>
    </row>
    <row r="50" spans="1:16" s="48" customFormat="1">
      <c r="A50" s="96" t="s">
        <v>398</v>
      </c>
      <c r="B50" s="99" t="s">
        <v>587</v>
      </c>
      <c r="C50" s="99" t="s">
        <v>205</v>
      </c>
      <c r="D50" s="99" t="s">
        <v>267</v>
      </c>
      <c r="E50" s="96" t="s">
        <v>99</v>
      </c>
      <c r="F50" s="101" t="s">
        <v>851</v>
      </c>
      <c r="G50" s="97">
        <v>302400</v>
      </c>
      <c r="H50" s="97">
        <v>274778.74</v>
      </c>
      <c r="I50" s="97">
        <v>3372.36</v>
      </c>
      <c r="J50" s="97">
        <v>268849.98</v>
      </c>
      <c r="K50" s="97">
        <v>198281.69</v>
      </c>
      <c r="L50" s="97">
        <v>70568.28</v>
      </c>
      <c r="M50" s="98">
        <v>0.73799999999999999</v>
      </c>
      <c r="N50" s="99" t="s">
        <v>42</v>
      </c>
      <c r="O50" s="96" t="s">
        <v>399</v>
      </c>
      <c r="P50" s="77">
        <v>1</v>
      </c>
    </row>
    <row r="51" spans="1:16" s="48" customFormat="1">
      <c r="A51" s="96" t="s">
        <v>425</v>
      </c>
      <c r="B51" s="99" t="s">
        <v>588</v>
      </c>
      <c r="C51" s="99" t="s">
        <v>205</v>
      </c>
      <c r="D51" s="99" t="s">
        <v>267</v>
      </c>
      <c r="E51" s="96" t="s">
        <v>99</v>
      </c>
      <c r="F51" s="101" t="s">
        <v>851</v>
      </c>
      <c r="G51" s="97">
        <v>331200</v>
      </c>
      <c r="H51" s="97">
        <v>300948.13</v>
      </c>
      <c r="I51" s="97">
        <v>3402.91</v>
      </c>
      <c r="J51" s="97">
        <v>294601.61</v>
      </c>
      <c r="K51" s="97">
        <v>176718.4</v>
      </c>
      <c r="L51" s="97">
        <v>117883.21</v>
      </c>
      <c r="M51" s="98">
        <v>0.6</v>
      </c>
      <c r="N51" s="99" t="s">
        <v>42</v>
      </c>
      <c r="O51" s="96" t="s">
        <v>427</v>
      </c>
      <c r="P51" s="77">
        <v>1</v>
      </c>
    </row>
    <row r="52" spans="1:16" s="48" customFormat="1">
      <c r="A52" s="96" t="s">
        <v>437</v>
      </c>
      <c r="B52" s="99" t="s">
        <v>589</v>
      </c>
      <c r="C52" s="99" t="s">
        <v>205</v>
      </c>
      <c r="D52" s="99" t="s">
        <v>267</v>
      </c>
      <c r="E52" s="96" t="s">
        <v>99</v>
      </c>
      <c r="F52" s="101" t="s">
        <v>853</v>
      </c>
      <c r="G52" s="97">
        <v>220800</v>
      </c>
      <c r="H52" s="97">
        <v>198442.94</v>
      </c>
      <c r="I52" s="97">
        <v>1976.53</v>
      </c>
      <c r="J52" s="97">
        <v>193449.09</v>
      </c>
      <c r="K52" s="97">
        <v>110662.97</v>
      </c>
      <c r="L52" s="97">
        <v>82786.11</v>
      </c>
      <c r="M52" s="98">
        <v>0.57199999999999995</v>
      </c>
      <c r="N52" s="99" t="s">
        <v>42</v>
      </c>
      <c r="O52" s="96" t="s">
        <v>439</v>
      </c>
      <c r="P52" s="77">
        <v>1</v>
      </c>
    </row>
    <row r="53" spans="1:16" s="48" customFormat="1">
      <c r="A53" s="96" t="s">
        <v>438</v>
      </c>
      <c r="B53" s="99" t="s">
        <v>590</v>
      </c>
      <c r="C53" s="99" t="s">
        <v>205</v>
      </c>
      <c r="D53" s="99" t="s">
        <v>267</v>
      </c>
      <c r="E53" s="96" t="s">
        <v>99</v>
      </c>
      <c r="F53" s="101" t="s">
        <v>853</v>
      </c>
      <c r="G53" s="97">
        <v>384000</v>
      </c>
      <c r="H53" s="97">
        <v>344547.07</v>
      </c>
      <c r="I53" s="97">
        <v>1805.88</v>
      </c>
      <c r="J53" s="97">
        <v>337473.49</v>
      </c>
      <c r="K53" s="97">
        <v>207151.67</v>
      </c>
      <c r="L53" s="97">
        <v>130321.82</v>
      </c>
      <c r="M53" s="98">
        <v>0.61399999999999999</v>
      </c>
      <c r="N53" s="99" t="s">
        <v>42</v>
      </c>
      <c r="O53" s="96" t="s">
        <v>439</v>
      </c>
      <c r="P53" s="77">
        <v>1</v>
      </c>
    </row>
    <row r="54" spans="1:16" s="48" customFormat="1">
      <c r="A54" s="96" t="s">
        <v>451</v>
      </c>
      <c r="B54" s="99" t="s">
        <v>591</v>
      </c>
      <c r="C54" s="99" t="s">
        <v>205</v>
      </c>
      <c r="D54" s="99" t="s">
        <v>267</v>
      </c>
      <c r="E54" s="96" t="s">
        <v>99</v>
      </c>
      <c r="F54" s="101" t="s">
        <v>853</v>
      </c>
      <c r="G54" s="97">
        <v>384000</v>
      </c>
      <c r="H54" s="97">
        <v>344547.07</v>
      </c>
      <c r="I54" s="97">
        <v>1805.88</v>
      </c>
      <c r="J54" s="97">
        <v>337473.49</v>
      </c>
      <c r="K54" s="97">
        <v>183257.97</v>
      </c>
      <c r="L54" s="97">
        <v>154215.51999999999</v>
      </c>
      <c r="M54" s="98">
        <v>0.54300000000000004</v>
      </c>
      <c r="N54" s="99" t="s">
        <v>42</v>
      </c>
      <c r="O54" s="96" t="s">
        <v>452</v>
      </c>
      <c r="P54" s="77">
        <v>1</v>
      </c>
    </row>
    <row r="55" spans="1:16" s="48" customFormat="1">
      <c r="A55" s="96" t="s">
        <v>445</v>
      </c>
      <c r="B55" s="99" t="s">
        <v>592</v>
      </c>
      <c r="C55" s="99" t="s">
        <v>205</v>
      </c>
      <c r="D55" s="99" t="s">
        <v>267</v>
      </c>
      <c r="E55" s="96" t="s">
        <v>99</v>
      </c>
      <c r="F55" s="101" t="s">
        <v>852</v>
      </c>
      <c r="G55" s="97">
        <v>57600</v>
      </c>
      <c r="H55" s="97">
        <v>52338.8</v>
      </c>
      <c r="I55" s="97">
        <v>908.46</v>
      </c>
      <c r="J55" s="97">
        <v>51081.37</v>
      </c>
      <c r="K55" s="97">
        <v>32014.22</v>
      </c>
      <c r="L55" s="97">
        <v>19067.150000000001</v>
      </c>
      <c r="M55" s="98">
        <v>0.627</v>
      </c>
      <c r="N55" s="99" t="s">
        <v>44</v>
      </c>
      <c r="O55" s="99" t="s">
        <v>444</v>
      </c>
      <c r="P55" s="85">
        <v>1</v>
      </c>
    </row>
    <row r="56" spans="1:16" s="48" customFormat="1">
      <c r="A56" s="96" t="s">
        <v>456</v>
      </c>
      <c r="B56" s="99" t="s">
        <v>593</v>
      </c>
      <c r="C56" s="99" t="s">
        <v>205</v>
      </c>
      <c r="D56" s="99" t="s">
        <v>267</v>
      </c>
      <c r="E56" s="96" t="s">
        <v>99</v>
      </c>
      <c r="F56" s="101" t="s">
        <v>855</v>
      </c>
      <c r="G56" s="97">
        <v>38400</v>
      </c>
      <c r="H56" s="97">
        <v>34892.54</v>
      </c>
      <c r="I56" s="97">
        <v>779.22</v>
      </c>
      <c r="J56" s="97">
        <v>33591.620000000003</v>
      </c>
      <c r="K56" s="97">
        <v>25479.09</v>
      </c>
      <c r="L56" s="97">
        <v>8112.53</v>
      </c>
      <c r="M56" s="98">
        <v>0.75800000000000001</v>
      </c>
      <c r="N56" s="99" t="s">
        <v>42</v>
      </c>
      <c r="O56" s="99" t="s">
        <v>455</v>
      </c>
      <c r="P56" s="85">
        <v>1</v>
      </c>
    </row>
    <row r="57" spans="1:16" s="48" customFormat="1">
      <c r="A57" s="96" t="s">
        <v>457</v>
      </c>
      <c r="B57" s="99" t="s">
        <v>594</v>
      </c>
      <c r="C57" s="99" t="s">
        <v>205</v>
      </c>
      <c r="D57" s="99" t="s">
        <v>267</v>
      </c>
      <c r="E57" s="96" t="s">
        <v>99</v>
      </c>
      <c r="F57" s="101" t="s">
        <v>853</v>
      </c>
      <c r="G57" s="97">
        <v>384000</v>
      </c>
      <c r="H57" s="97">
        <v>344547.07</v>
      </c>
      <c r="I57" s="97">
        <v>1805.88</v>
      </c>
      <c r="J57" s="97">
        <v>337473.49</v>
      </c>
      <c r="K57" s="97">
        <v>182362.77</v>
      </c>
      <c r="L57" s="97">
        <v>155110.72</v>
      </c>
      <c r="M57" s="98">
        <v>0.54</v>
      </c>
      <c r="N57" s="99" t="s">
        <v>42</v>
      </c>
      <c r="O57" s="99" t="s">
        <v>455</v>
      </c>
      <c r="P57" s="85">
        <v>1</v>
      </c>
    </row>
    <row r="58" spans="1:16" s="48" customFormat="1">
      <c r="A58" s="96" t="s">
        <v>461</v>
      </c>
      <c r="B58" s="99" t="s">
        <v>595</v>
      </c>
      <c r="C58" s="99" t="s">
        <v>205</v>
      </c>
      <c r="D58" s="99" t="s">
        <v>267</v>
      </c>
      <c r="E58" s="96" t="s">
        <v>99</v>
      </c>
      <c r="F58" s="101" t="s">
        <v>853</v>
      </c>
      <c r="G58" s="97">
        <v>384000</v>
      </c>
      <c r="H58" s="97">
        <v>344547.07</v>
      </c>
      <c r="I58" s="97">
        <v>2080.52</v>
      </c>
      <c r="J58" s="97">
        <v>337198.85</v>
      </c>
      <c r="K58" s="97">
        <v>192149.17</v>
      </c>
      <c r="L58" s="97">
        <v>145049.68</v>
      </c>
      <c r="M58" s="98">
        <v>0.56999999999999995</v>
      </c>
      <c r="N58" s="99" t="s">
        <v>42</v>
      </c>
      <c r="O58" s="99" t="s">
        <v>460</v>
      </c>
      <c r="P58" s="85">
        <v>1</v>
      </c>
    </row>
    <row r="59" spans="1:16" s="48" customFormat="1">
      <c r="A59" s="96" t="s">
        <v>491</v>
      </c>
      <c r="B59" s="99" t="s">
        <v>492</v>
      </c>
      <c r="C59" s="99" t="s">
        <v>205</v>
      </c>
      <c r="D59" s="99" t="s">
        <v>267</v>
      </c>
      <c r="E59" s="96" t="s">
        <v>99</v>
      </c>
      <c r="F59" s="101" t="s">
        <v>853</v>
      </c>
      <c r="G59" s="97">
        <v>530800</v>
      </c>
      <c r="H59" s="97">
        <v>476770.51</v>
      </c>
      <c r="I59" s="97">
        <v>3189.79</v>
      </c>
      <c r="J59" s="97">
        <v>469004.53</v>
      </c>
      <c r="K59" s="97">
        <v>411226.82</v>
      </c>
      <c r="L59" s="97">
        <v>57777.71</v>
      </c>
      <c r="M59" s="98">
        <v>0.877</v>
      </c>
      <c r="N59" s="99" t="s">
        <v>41</v>
      </c>
      <c r="O59" s="99" t="s">
        <v>493</v>
      </c>
      <c r="P59" s="77">
        <v>1</v>
      </c>
    </row>
    <row r="60" spans="1:16" s="48" customFormat="1">
      <c r="A60" s="96" t="s">
        <v>538</v>
      </c>
      <c r="B60" s="99" t="s">
        <v>539</v>
      </c>
      <c r="C60" s="99" t="s">
        <v>205</v>
      </c>
      <c r="D60" s="99" t="s">
        <v>267</v>
      </c>
      <c r="E60" s="96" t="s">
        <v>99</v>
      </c>
      <c r="F60" s="101" t="s">
        <v>852</v>
      </c>
      <c r="G60" s="97">
        <v>278400</v>
      </c>
      <c r="H60" s="97">
        <v>250781.75</v>
      </c>
      <c r="I60" s="97">
        <v>306.39999999999998</v>
      </c>
      <c r="J60" s="97">
        <v>248617.7</v>
      </c>
      <c r="K60" s="97">
        <v>148533.9</v>
      </c>
      <c r="L60" s="97">
        <v>100083.8</v>
      </c>
      <c r="M60" s="98">
        <v>0.59699999999999998</v>
      </c>
      <c r="N60" s="99" t="s">
        <v>41</v>
      </c>
      <c r="O60" s="99" t="s">
        <v>542</v>
      </c>
      <c r="P60" s="77">
        <v>1</v>
      </c>
    </row>
    <row r="61" spans="1:16" s="48" customFormat="1">
      <c r="A61" s="96" t="s">
        <v>92</v>
      </c>
      <c r="B61" s="99" t="s">
        <v>801</v>
      </c>
      <c r="C61" s="99" t="s">
        <v>205</v>
      </c>
      <c r="D61" s="99" t="s">
        <v>77</v>
      </c>
      <c r="E61" s="96" t="s">
        <v>99</v>
      </c>
      <c r="F61" s="101" t="s">
        <v>852</v>
      </c>
      <c r="G61" s="97">
        <v>470400</v>
      </c>
      <c r="H61" s="97">
        <v>423055.28</v>
      </c>
      <c r="I61" s="97">
        <v>309.37</v>
      </c>
      <c r="J61" s="97">
        <v>419043.13</v>
      </c>
      <c r="K61" s="97">
        <v>148661.57999999999</v>
      </c>
      <c r="L61" s="97">
        <v>270381.55</v>
      </c>
      <c r="M61" s="98">
        <v>0.35499999999999998</v>
      </c>
      <c r="N61" s="99" t="s">
        <v>41</v>
      </c>
      <c r="O61" s="99" t="s">
        <v>800</v>
      </c>
      <c r="P61" s="77">
        <v>1</v>
      </c>
    </row>
    <row r="62" spans="1:16" s="48" customFormat="1">
      <c r="A62" s="96" t="s">
        <v>92</v>
      </c>
      <c r="B62" s="99" t="s">
        <v>801</v>
      </c>
      <c r="C62" s="99" t="s">
        <v>205</v>
      </c>
      <c r="D62" s="99" t="s">
        <v>77</v>
      </c>
      <c r="E62" s="96" t="s">
        <v>98</v>
      </c>
      <c r="F62" s="101" t="s">
        <v>850</v>
      </c>
      <c r="G62" s="97">
        <v>35040</v>
      </c>
      <c r="H62" s="97">
        <v>32815.870000000003</v>
      </c>
      <c r="I62" s="97">
        <v>410.11</v>
      </c>
      <c r="J62" s="97">
        <v>32367.55</v>
      </c>
      <c r="K62" s="97">
        <v>32367.37</v>
      </c>
      <c r="L62" s="97">
        <v>0.18</v>
      </c>
      <c r="M62" s="98">
        <v>1</v>
      </c>
      <c r="N62" s="99" t="s">
        <v>41</v>
      </c>
      <c r="O62" s="99" t="s">
        <v>800</v>
      </c>
      <c r="P62" s="77"/>
    </row>
    <row r="63" spans="1:16" s="48" customFormat="1">
      <c r="A63" s="96" t="s">
        <v>548</v>
      </c>
      <c r="B63" s="99" t="s">
        <v>549</v>
      </c>
      <c r="C63" s="99" t="s">
        <v>205</v>
      </c>
      <c r="D63" s="99" t="s">
        <v>267</v>
      </c>
      <c r="E63" s="96" t="s">
        <v>99</v>
      </c>
      <c r="F63" s="101" t="s">
        <v>850</v>
      </c>
      <c r="G63" s="97">
        <v>36000</v>
      </c>
      <c r="H63" s="97">
        <v>33527.61</v>
      </c>
      <c r="I63" s="97">
        <v>488.41</v>
      </c>
      <c r="J63" s="97">
        <v>32999.89</v>
      </c>
      <c r="K63" s="97">
        <v>32118.3</v>
      </c>
      <c r="L63" s="97">
        <v>881.6</v>
      </c>
      <c r="M63" s="98">
        <v>0.97299999999999998</v>
      </c>
      <c r="N63" s="99" t="s">
        <v>41</v>
      </c>
      <c r="O63" s="99" t="s">
        <v>547</v>
      </c>
      <c r="P63" s="77">
        <v>1</v>
      </c>
    </row>
    <row r="64" spans="1:16" s="48" customFormat="1">
      <c r="A64" s="96" t="s">
        <v>114</v>
      </c>
      <c r="B64" s="99" t="s">
        <v>596</v>
      </c>
      <c r="C64" s="99" t="s">
        <v>205</v>
      </c>
      <c r="D64" s="99" t="s">
        <v>77</v>
      </c>
      <c r="E64" s="96" t="s">
        <v>101</v>
      </c>
      <c r="F64" s="101" t="s">
        <v>850</v>
      </c>
      <c r="G64" s="97">
        <v>8813.2199999999993</v>
      </c>
      <c r="H64" s="97">
        <v>8253.81</v>
      </c>
      <c r="I64" s="97">
        <v>33.89</v>
      </c>
      <c r="J64" s="97">
        <v>8210.25</v>
      </c>
      <c r="K64" s="97">
        <v>7322.05</v>
      </c>
      <c r="L64" s="97">
        <v>888.2</v>
      </c>
      <c r="M64" s="98">
        <v>0.89200000000000002</v>
      </c>
      <c r="N64" s="99" t="s">
        <v>44</v>
      </c>
      <c r="O64" s="99" t="s">
        <v>115</v>
      </c>
      <c r="P64" s="77">
        <v>1</v>
      </c>
    </row>
    <row r="65" spans="1:16" s="48" customFormat="1">
      <c r="A65" s="96" t="s">
        <v>114</v>
      </c>
      <c r="B65" s="99" t="s">
        <v>596</v>
      </c>
      <c r="C65" s="99" t="s">
        <v>205</v>
      </c>
      <c r="D65" s="99" t="s">
        <v>77</v>
      </c>
      <c r="E65" s="96" t="s">
        <v>98</v>
      </c>
      <c r="F65" s="101" t="s">
        <v>850</v>
      </c>
      <c r="G65" s="97">
        <v>23890.78</v>
      </c>
      <c r="H65" s="97">
        <v>22374.33</v>
      </c>
      <c r="I65" s="97">
        <v>91.86</v>
      </c>
      <c r="J65" s="97">
        <v>22256.23</v>
      </c>
      <c r="K65" s="97">
        <v>422.78</v>
      </c>
      <c r="L65" s="97">
        <v>21833.439999999999</v>
      </c>
      <c r="M65" s="98">
        <v>1.9E-2</v>
      </c>
      <c r="N65" s="99" t="s">
        <v>44</v>
      </c>
      <c r="O65" s="99" t="s">
        <v>115</v>
      </c>
      <c r="P65" s="85"/>
    </row>
    <row r="66" spans="1:16" s="48" customFormat="1">
      <c r="A66" s="96" t="s">
        <v>114</v>
      </c>
      <c r="B66" s="99" t="s">
        <v>596</v>
      </c>
      <c r="C66" s="99" t="s">
        <v>205</v>
      </c>
      <c r="D66" s="99" t="s">
        <v>77</v>
      </c>
      <c r="E66" s="96" t="s">
        <v>99</v>
      </c>
      <c r="F66" s="101" t="s">
        <v>850</v>
      </c>
      <c r="G66" s="97">
        <v>9600</v>
      </c>
      <c r="H66" s="97">
        <v>8940.7000000000007</v>
      </c>
      <c r="I66" s="97">
        <v>383.81</v>
      </c>
      <c r="J66" s="97">
        <v>8547.4500000000007</v>
      </c>
      <c r="K66" s="97">
        <v>5683.35</v>
      </c>
      <c r="L66" s="97">
        <v>2864.1</v>
      </c>
      <c r="M66" s="98">
        <v>0.66500000000000004</v>
      </c>
      <c r="N66" s="99" t="s">
        <v>44</v>
      </c>
      <c r="O66" s="99" t="s">
        <v>115</v>
      </c>
      <c r="P66" s="85"/>
    </row>
    <row r="67" spans="1:16" s="48" customFormat="1">
      <c r="A67" s="96" t="s">
        <v>802</v>
      </c>
      <c r="B67" s="99" t="s">
        <v>803</v>
      </c>
      <c r="C67" s="99" t="s">
        <v>205</v>
      </c>
      <c r="D67" s="99" t="s">
        <v>806</v>
      </c>
      <c r="E67" s="96" t="s">
        <v>99</v>
      </c>
      <c r="F67" s="101" t="s">
        <v>852</v>
      </c>
      <c r="G67" s="97">
        <v>296832</v>
      </c>
      <c r="H67" s="97">
        <v>262134.58</v>
      </c>
      <c r="I67" s="97">
        <v>213.32</v>
      </c>
      <c r="J67" s="97">
        <v>261623.58</v>
      </c>
      <c r="K67" s="97">
        <v>102913.14</v>
      </c>
      <c r="L67" s="97">
        <v>158710.44</v>
      </c>
      <c r="M67" s="98">
        <v>0.39300000000000002</v>
      </c>
      <c r="N67" s="99" t="s">
        <v>41</v>
      </c>
      <c r="O67" s="99" t="s">
        <v>799</v>
      </c>
      <c r="P67" s="77">
        <v>1</v>
      </c>
    </row>
    <row r="68" spans="1:16" s="48" customFormat="1">
      <c r="A68" s="96" t="s">
        <v>804</v>
      </c>
      <c r="B68" s="99" t="s">
        <v>805</v>
      </c>
      <c r="C68" s="99" t="s">
        <v>205</v>
      </c>
      <c r="D68" s="99" t="s">
        <v>806</v>
      </c>
      <c r="E68" s="96" t="s">
        <v>99</v>
      </c>
      <c r="F68" s="101" t="s">
        <v>854</v>
      </c>
      <c r="G68" s="97">
        <v>595200</v>
      </c>
      <c r="H68" s="97">
        <v>548295.30000000005</v>
      </c>
      <c r="I68" s="97">
        <v>215.43</v>
      </c>
      <c r="J68" s="97">
        <v>543379.76</v>
      </c>
      <c r="K68" s="97">
        <v>87995.91</v>
      </c>
      <c r="L68" s="97">
        <v>455383.85</v>
      </c>
      <c r="M68" s="98">
        <v>0.16200000000000001</v>
      </c>
      <c r="N68" s="99" t="s">
        <v>41</v>
      </c>
      <c r="O68" s="99" t="s">
        <v>799</v>
      </c>
      <c r="P68" s="77">
        <v>1</v>
      </c>
    </row>
    <row r="69" spans="1:16" s="48" customFormat="1">
      <c r="A69" s="96" t="s">
        <v>824</v>
      </c>
      <c r="B69" s="96" t="s">
        <v>829</v>
      </c>
      <c r="C69" s="96" t="s">
        <v>205</v>
      </c>
      <c r="D69" s="99" t="s">
        <v>806</v>
      </c>
      <c r="E69" s="96" t="s">
        <v>99</v>
      </c>
      <c r="F69" s="101" t="s">
        <v>854</v>
      </c>
      <c r="G69" s="97">
        <v>307200</v>
      </c>
      <c r="H69" s="97">
        <v>280019.43</v>
      </c>
      <c r="I69" s="97">
        <v>214.17</v>
      </c>
      <c r="J69" s="97">
        <v>279232.45</v>
      </c>
      <c r="K69" s="97">
        <v>2493.6799999999998</v>
      </c>
      <c r="L69" s="97">
        <v>276738.78000000003</v>
      </c>
      <c r="M69" s="98">
        <v>8.9999999999999993E-3</v>
      </c>
      <c r="N69" s="99" t="s">
        <v>41</v>
      </c>
      <c r="O69" s="99" t="s">
        <v>823</v>
      </c>
      <c r="P69" s="77">
        <v>1</v>
      </c>
    </row>
    <row r="70" spans="1:16" s="48" customFormat="1">
      <c r="A70" s="96" t="s">
        <v>825</v>
      </c>
      <c r="B70" s="96" t="s">
        <v>830</v>
      </c>
      <c r="C70" s="96" t="s">
        <v>205</v>
      </c>
      <c r="D70" s="99" t="s">
        <v>806</v>
      </c>
      <c r="E70" s="96" t="s">
        <v>99</v>
      </c>
      <c r="F70" s="101" t="s">
        <v>854</v>
      </c>
      <c r="G70" s="97">
        <v>595200</v>
      </c>
      <c r="H70" s="97">
        <v>548295.30000000005</v>
      </c>
      <c r="I70" s="97">
        <v>216.19</v>
      </c>
      <c r="J70" s="97">
        <v>543379.01</v>
      </c>
      <c r="K70" s="97">
        <v>83342.95</v>
      </c>
      <c r="L70" s="97">
        <v>460036.06</v>
      </c>
      <c r="M70" s="98">
        <v>0.153</v>
      </c>
      <c r="N70" s="99" t="s">
        <v>41</v>
      </c>
      <c r="O70" s="99" t="s">
        <v>823</v>
      </c>
      <c r="P70" s="77">
        <v>1</v>
      </c>
    </row>
    <row r="71" spans="1:16" s="48" customFormat="1">
      <c r="A71" s="96" t="s">
        <v>826</v>
      </c>
      <c r="B71" s="96" t="s">
        <v>831</v>
      </c>
      <c r="C71" s="96" t="s">
        <v>205</v>
      </c>
      <c r="D71" s="99" t="s">
        <v>806</v>
      </c>
      <c r="E71" s="96" t="s">
        <v>99</v>
      </c>
      <c r="F71" s="101" t="s">
        <v>854</v>
      </c>
      <c r="G71" s="97">
        <v>595200</v>
      </c>
      <c r="H71" s="97">
        <v>548295.30000000005</v>
      </c>
      <c r="I71" s="97">
        <v>216.19</v>
      </c>
      <c r="J71" s="97">
        <v>543379.01</v>
      </c>
      <c r="K71" s="97">
        <v>72006.820000000007</v>
      </c>
      <c r="L71" s="97">
        <v>471372.19</v>
      </c>
      <c r="M71" s="98">
        <v>0.13300000000000001</v>
      </c>
      <c r="N71" s="99" t="s">
        <v>41</v>
      </c>
      <c r="O71" s="99" t="s">
        <v>823</v>
      </c>
      <c r="P71" s="77">
        <v>1</v>
      </c>
    </row>
    <row r="72" spans="1:16" s="48" customFormat="1">
      <c r="A72" s="96" t="s">
        <v>827</v>
      </c>
      <c r="B72" s="96" t="s">
        <v>832</v>
      </c>
      <c r="C72" s="96" t="s">
        <v>205</v>
      </c>
      <c r="D72" s="99" t="s">
        <v>806</v>
      </c>
      <c r="E72" s="96" t="s">
        <v>99</v>
      </c>
      <c r="F72" s="101" t="s">
        <v>854</v>
      </c>
      <c r="G72" s="97">
        <v>584832</v>
      </c>
      <c r="H72" s="97">
        <v>530410.43999999994</v>
      </c>
      <c r="I72" s="97">
        <v>216.48</v>
      </c>
      <c r="J72" s="97">
        <v>525769.01</v>
      </c>
      <c r="K72" s="97">
        <v>17289.2</v>
      </c>
      <c r="L72" s="97">
        <v>508479.81</v>
      </c>
      <c r="M72" s="98">
        <v>3.3000000000000002E-2</v>
      </c>
      <c r="N72" s="99" t="s">
        <v>41</v>
      </c>
      <c r="O72" s="99" t="s">
        <v>823</v>
      </c>
      <c r="P72" s="77">
        <v>1</v>
      </c>
    </row>
    <row r="73" spans="1:16" s="48" customFormat="1">
      <c r="A73" s="96" t="s">
        <v>828</v>
      </c>
      <c r="B73" s="96" t="s">
        <v>833</v>
      </c>
      <c r="C73" s="96" t="s">
        <v>205</v>
      </c>
      <c r="D73" s="99" t="s">
        <v>806</v>
      </c>
      <c r="E73" s="96" t="s">
        <v>99</v>
      </c>
      <c r="F73" s="101" t="s">
        <v>854</v>
      </c>
      <c r="G73" s="97">
        <v>584832</v>
      </c>
      <c r="H73" s="97">
        <v>530410.43999999994</v>
      </c>
      <c r="I73" s="97">
        <v>216.48</v>
      </c>
      <c r="J73" s="97">
        <v>525769.01</v>
      </c>
      <c r="K73" s="97">
        <v>37245.47</v>
      </c>
      <c r="L73" s="97">
        <v>488523.54</v>
      </c>
      <c r="M73" s="98">
        <v>7.0999999999999994E-2</v>
      </c>
      <c r="N73" s="99" t="s">
        <v>41</v>
      </c>
      <c r="O73" s="99" t="s">
        <v>823</v>
      </c>
      <c r="P73" s="77">
        <v>1</v>
      </c>
    </row>
    <row r="74" spans="1:16" s="48" customFormat="1">
      <c r="A74" s="96" t="s">
        <v>191</v>
      </c>
      <c r="B74" s="99" t="s">
        <v>597</v>
      </c>
      <c r="C74" s="99" t="s">
        <v>205</v>
      </c>
      <c r="D74" s="99" t="s">
        <v>77</v>
      </c>
      <c r="E74" s="96" t="s">
        <v>101</v>
      </c>
      <c r="F74" s="101" t="s">
        <v>856</v>
      </c>
      <c r="G74" s="97">
        <v>11194.12</v>
      </c>
      <c r="H74" s="97">
        <v>10483.58</v>
      </c>
      <c r="I74" s="97">
        <v>66.3</v>
      </c>
      <c r="J74" s="97">
        <v>10405.02</v>
      </c>
      <c r="K74" s="97">
        <v>10366.48</v>
      </c>
      <c r="L74" s="97">
        <v>38.54</v>
      </c>
      <c r="M74" s="98">
        <v>0.996</v>
      </c>
      <c r="N74" s="99" t="s">
        <v>44</v>
      </c>
      <c r="O74" s="99" t="s">
        <v>192</v>
      </c>
      <c r="P74" s="77">
        <v>1</v>
      </c>
    </row>
    <row r="75" spans="1:16" s="48" customFormat="1">
      <c r="A75" s="96" t="s">
        <v>191</v>
      </c>
      <c r="B75" s="99" t="s">
        <v>597</v>
      </c>
      <c r="C75" s="99" t="s">
        <v>205</v>
      </c>
      <c r="D75" s="99" t="s">
        <v>77</v>
      </c>
      <c r="E75" s="96" t="s">
        <v>98</v>
      </c>
      <c r="F75" s="101" t="s">
        <v>856</v>
      </c>
      <c r="G75" s="97">
        <v>22677.88</v>
      </c>
      <c r="H75" s="97">
        <v>21238.43</v>
      </c>
      <c r="I75" s="97">
        <v>134.31</v>
      </c>
      <c r="J75" s="97">
        <v>21079.27</v>
      </c>
      <c r="K75" s="97">
        <v>6046.17</v>
      </c>
      <c r="L75" s="97">
        <v>15033.1</v>
      </c>
      <c r="M75" s="98">
        <v>0.28699999999999998</v>
      </c>
      <c r="N75" s="99" t="s">
        <v>44</v>
      </c>
      <c r="O75" s="99" t="s">
        <v>192</v>
      </c>
      <c r="P75" s="77" t="s">
        <v>100</v>
      </c>
    </row>
    <row r="76" spans="1:16" s="48" customFormat="1">
      <c r="A76" s="96" t="s">
        <v>191</v>
      </c>
      <c r="B76" s="99" t="s">
        <v>597</v>
      </c>
      <c r="C76" s="99" t="s">
        <v>205</v>
      </c>
      <c r="D76" s="99" t="s">
        <v>77</v>
      </c>
      <c r="E76" s="96" t="s">
        <v>99</v>
      </c>
      <c r="F76" s="101" t="s">
        <v>856</v>
      </c>
      <c r="G76" s="97">
        <v>36000</v>
      </c>
      <c r="H76" s="97">
        <v>33527.61</v>
      </c>
      <c r="I76" s="97">
        <v>428.34</v>
      </c>
      <c r="J76" s="97">
        <v>33059.870000000003</v>
      </c>
      <c r="K76" s="97">
        <v>17586.169999999998</v>
      </c>
      <c r="L76" s="97">
        <v>15473.7</v>
      </c>
      <c r="M76" s="98">
        <v>0.53200000000000003</v>
      </c>
      <c r="N76" s="99" t="s">
        <v>44</v>
      </c>
      <c r="O76" s="99" t="s">
        <v>192</v>
      </c>
      <c r="P76" s="85"/>
    </row>
    <row r="77" spans="1:16" s="48" customFormat="1">
      <c r="A77" s="96" t="s">
        <v>859</v>
      </c>
      <c r="B77" s="96" t="s">
        <v>860</v>
      </c>
      <c r="C77" s="96" t="s">
        <v>205</v>
      </c>
      <c r="D77" s="99" t="s">
        <v>806</v>
      </c>
      <c r="E77" s="96" t="s">
        <v>99</v>
      </c>
      <c r="F77" s="101" t="s">
        <v>852</v>
      </c>
      <c r="G77" s="97">
        <v>271200</v>
      </c>
      <c r="H77" s="97">
        <v>246428.55</v>
      </c>
      <c r="I77" s="97">
        <v>140</v>
      </c>
      <c r="J77" s="97">
        <v>246266.05</v>
      </c>
      <c r="K77" s="97">
        <v>1505.71</v>
      </c>
      <c r="L77" s="97">
        <v>244760.34</v>
      </c>
      <c r="M77" s="98">
        <v>6.0000000000000001E-3</v>
      </c>
      <c r="N77" s="99" t="s">
        <v>41</v>
      </c>
      <c r="O77" s="99" t="s">
        <v>861</v>
      </c>
      <c r="P77" s="77">
        <v>1</v>
      </c>
    </row>
    <row r="78" spans="1:16" s="48" customFormat="1">
      <c r="A78" s="96" t="s">
        <v>293</v>
      </c>
      <c r="B78" s="99" t="s">
        <v>598</v>
      </c>
      <c r="C78" s="99" t="s">
        <v>205</v>
      </c>
      <c r="D78" s="99" t="s">
        <v>267</v>
      </c>
      <c r="E78" s="96" t="s">
        <v>99</v>
      </c>
      <c r="F78" s="101" t="s">
        <v>852</v>
      </c>
      <c r="G78" s="97">
        <v>86400</v>
      </c>
      <c r="H78" s="97">
        <v>78508.210000000006</v>
      </c>
      <c r="I78" s="97">
        <v>1734.84</v>
      </c>
      <c r="J78" s="97">
        <v>76427.520000000004</v>
      </c>
      <c r="K78" s="97">
        <v>63209.09</v>
      </c>
      <c r="L78" s="97">
        <v>13218.42</v>
      </c>
      <c r="M78" s="98">
        <v>0.82699999999999996</v>
      </c>
      <c r="N78" s="99" t="s">
        <v>44</v>
      </c>
      <c r="O78" s="99" t="s">
        <v>294</v>
      </c>
      <c r="P78" s="77">
        <v>1</v>
      </c>
    </row>
    <row r="79" spans="1:16" s="48" customFormat="1">
      <c r="A79" s="96" t="s">
        <v>365</v>
      </c>
      <c r="B79" s="99" t="s">
        <v>599</v>
      </c>
      <c r="C79" s="99" t="s">
        <v>205</v>
      </c>
      <c r="D79" s="99" t="s">
        <v>267</v>
      </c>
      <c r="E79" s="96" t="s">
        <v>99</v>
      </c>
      <c r="F79" s="101" t="s">
        <v>852</v>
      </c>
      <c r="G79" s="97">
        <v>81600</v>
      </c>
      <c r="H79" s="97">
        <v>74146.64</v>
      </c>
      <c r="I79" s="97">
        <v>723.84</v>
      </c>
      <c r="J79" s="97">
        <v>72294.81</v>
      </c>
      <c r="K79" s="97">
        <v>25698.17</v>
      </c>
      <c r="L79" s="97">
        <v>46596.63</v>
      </c>
      <c r="M79" s="98">
        <v>0.35499999999999998</v>
      </c>
      <c r="N79" s="99" t="s">
        <v>44</v>
      </c>
      <c r="O79" s="99" t="s">
        <v>369</v>
      </c>
      <c r="P79" s="77">
        <v>1</v>
      </c>
    </row>
    <row r="80" spans="1:16" s="48" customFormat="1">
      <c r="A80" s="96" t="s">
        <v>426</v>
      </c>
      <c r="B80" s="99" t="s">
        <v>600</v>
      </c>
      <c r="C80" s="99" t="s">
        <v>205</v>
      </c>
      <c r="D80" s="99" t="s">
        <v>267</v>
      </c>
      <c r="E80" s="96" t="s">
        <v>99</v>
      </c>
      <c r="F80" s="101" t="s">
        <v>852</v>
      </c>
      <c r="G80" s="97">
        <v>62400</v>
      </c>
      <c r="H80" s="97">
        <v>56700.38</v>
      </c>
      <c r="I80" s="97">
        <v>668.91</v>
      </c>
      <c r="J80" s="97">
        <v>55175.32</v>
      </c>
      <c r="K80" s="97">
        <v>30464.65</v>
      </c>
      <c r="L80" s="97">
        <v>24710.68</v>
      </c>
      <c r="M80" s="98">
        <v>0.55200000000000005</v>
      </c>
      <c r="N80" s="99" t="s">
        <v>44</v>
      </c>
      <c r="O80" s="99" t="s">
        <v>427</v>
      </c>
      <c r="P80" s="77">
        <v>1</v>
      </c>
    </row>
    <row r="81" spans="1:16" s="48" customFormat="1">
      <c r="A81" s="96" t="s">
        <v>462</v>
      </c>
      <c r="B81" s="99" t="s">
        <v>601</v>
      </c>
      <c r="C81" s="99" t="s">
        <v>205</v>
      </c>
      <c r="D81" s="99" t="s">
        <v>267</v>
      </c>
      <c r="E81" s="96" t="s">
        <v>99</v>
      </c>
      <c r="F81" s="101" t="s">
        <v>852</v>
      </c>
      <c r="G81" s="97">
        <v>57600</v>
      </c>
      <c r="H81" s="97">
        <v>52338.81</v>
      </c>
      <c r="I81" s="97">
        <v>1433.81</v>
      </c>
      <c r="J81" s="97">
        <v>50811.02</v>
      </c>
      <c r="K81" s="97">
        <v>29963.85</v>
      </c>
      <c r="L81" s="97">
        <v>20847.169999999998</v>
      </c>
      <c r="M81" s="98">
        <v>0.59</v>
      </c>
      <c r="N81" s="99" t="s">
        <v>44</v>
      </c>
      <c r="O81" s="99" t="s">
        <v>460</v>
      </c>
      <c r="P81" s="77">
        <v>1</v>
      </c>
    </row>
    <row r="82" spans="1:16" s="48" customFormat="1">
      <c r="A82" s="96" t="s">
        <v>463</v>
      </c>
      <c r="B82" s="99" t="s">
        <v>602</v>
      </c>
      <c r="C82" s="99" t="s">
        <v>205</v>
      </c>
      <c r="D82" s="99" t="s">
        <v>267</v>
      </c>
      <c r="E82" s="96" t="s">
        <v>99</v>
      </c>
      <c r="F82" s="101" t="s">
        <v>852</v>
      </c>
      <c r="G82" s="97">
        <v>158400</v>
      </c>
      <c r="H82" s="97">
        <v>143931.71</v>
      </c>
      <c r="I82" s="97">
        <v>1540.71</v>
      </c>
      <c r="J82" s="97">
        <v>140937.42000000001</v>
      </c>
      <c r="K82" s="97">
        <v>62529.77</v>
      </c>
      <c r="L82" s="97">
        <v>78407.64</v>
      </c>
      <c r="M82" s="98">
        <v>0.44400000000000001</v>
      </c>
      <c r="N82" s="99" t="s">
        <v>44</v>
      </c>
      <c r="O82" s="99" t="s">
        <v>460</v>
      </c>
      <c r="P82" s="77">
        <v>1</v>
      </c>
    </row>
    <row r="83" spans="1:16" s="48" customFormat="1">
      <c r="A83" s="96" t="s">
        <v>540</v>
      </c>
      <c r="B83" s="99" t="s">
        <v>541</v>
      </c>
      <c r="C83" s="99" t="s">
        <v>205</v>
      </c>
      <c r="D83" s="99" t="s">
        <v>267</v>
      </c>
      <c r="E83" s="96" t="s">
        <v>99</v>
      </c>
      <c r="F83" s="101" t="s">
        <v>852</v>
      </c>
      <c r="G83" s="97">
        <v>79200</v>
      </c>
      <c r="H83" s="97">
        <v>71965.86</v>
      </c>
      <c r="I83" s="97">
        <v>1465.12</v>
      </c>
      <c r="J83" s="97">
        <v>70115.47</v>
      </c>
      <c r="K83" s="97">
        <v>40574.47</v>
      </c>
      <c r="L83" s="97">
        <v>29540.99</v>
      </c>
      <c r="M83" s="98">
        <v>0.57899999999999996</v>
      </c>
      <c r="N83" s="99" t="s">
        <v>44</v>
      </c>
      <c r="O83" s="99" t="s">
        <v>542</v>
      </c>
      <c r="P83" s="77">
        <v>1</v>
      </c>
    </row>
    <row r="84" spans="1:16" s="48" customFormat="1">
      <c r="A84" s="99" t="s">
        <v>236</v>
      </c>
      <c r="B84" s="99" t="s">
        <v>603</v>
      </c>
      <c r="C84" s="99" t="s">
        <v>205</v>
      </c>
      <c r="D84" s="99" t="s">
        <v>75</v>
      </c>
      <c r="E84" s="96" t="s">
        <v>99</v>
      </c>
      <c r="F84" s="101" t="s">
        <v>450</v>
      </c>
      <c r="G84" s="97">
        <v>76800</v>
      </c>
      <c r="H84" s="97">
        <v>68957.95</v>
      </c>
      <c r="I84" s="97">
        <v>0</v>
      </c>
      <c r="J84" s="97">
        <v>68957.88</v>
      </c>
      <c r="K84" s="97">
        <v>38895.31</v>
      </c>
      <c r="L84" s="97">
        <v>30062.57</v>
      </c>
      <c r="M84" s="98">
        <v>0.56399999999999995</v>
      </c>
      <c r="N84" s="99" t="s">
        <v>41</v>
      </c>
      <c r="O84" s="99" t="s">
        <v>237</v>
      </c>
      <c r="P84" s="77">
        <v>1</v>
      </c>
    </row>
    <row r="85" spans="1:16" s="48" customFormat="1">
      <c r="A85" s="99" t="s">
        <v>238</v>
      </c>
      <c r="B85" s="99" t="s">
        <v>604</v>
      </c>
      <c r="C85" s="99" t="s">
        <v>205</v>
      </c>
      <c r="D85" s="99" t="s">
        <v>75</v>
      </c>
      <c r="E85" s="96" t="s">
        <v>99</v>
      </c>
      <c r="F85" s="101" t="s">
        <v>450</v>
      </c>
      <c r="G85" s="97">
        <v>190000</v>
      </c>
      <c r="H85" s="97">
        <v>175502.1</v>
      </c>
      <c r="I85" s="97">
        <v>0</v>
      </c>
      <c r="J85" s="97">
        <v>158324.18</v>
      </c>
      <c r="K85" s="97">
        <v>126789.48</v>
      </c>
      <c r="L85" s="97">
        <v>31534.7</v>
      </c>
      <c r="M85" s="98">
        <v>0.80100000000000005</v>
      </c>
      <c r="N85" s="99" t="s">
        <v>41</v>
      </c>
      <c r="O85" s="99" t="s">
        <v>239</v>
      </c>
      <c r="P85" s="85">
        <v>1</v>
      </c>
    </row>
    <row r="86" spans="1:16" s="48" customFormat="1">
      <c r="A86" s="99" t="s">
        <v>389</v>
      </c>
      <c r="B86" s="99" t="s">
        <v>605</v>
      </c>
      <c r="C86" s="99" t="s">
        <v>205</v>
      </c>
      <c r="D86" s="99" t="s">
        <v>387</v>
      </c>
      <c r="E86" s="96" t="s">
        <v>99</v>
      </c>
      <c r="F86" s="101" t="s">
        <v>858</v>
      </c>
      <c r="G86" s="97">
        <v>83600</v>
      </c>
      <c r="H86" s="97">
        <v>81594.87</v>
      </c>
      <c r="I86" s="97">
        <v>0</v>
      </c>
      <c r="J86" s="97">
        <v>81594.490000000005</v>
      </c>
      <c r="K86" s="97">
        <v>48342.12</v>
      </c>
      <c r="L86" s="97">
        <v>33252.36</v>
      </c>
      <c r="M86" s="98">
        <v>0.59199999999999997</v>
      </c>
      <c r="N86" s="99" t="s">
        <v>41</v>
      </c>
      <c r="O86" s="99" t="s">
        <v>374</v>
      </c>
      <c r="P86" s="85">
        <v>1</v>
      </c>
    </row>
    <row r="87" spans="1:16" s="48" customFormat="1">
      <c r="A87" s="99" t="s">
        <v>807</v>
      </c>
      <c r="B87" s="99" t="s">
        <v>808</v>
      </c>
      <c r="C87" s="99" t="s">
        <v>205</v>
      </c>
      <c r="D87" s="99" t="s">
        <v>387</v>
      </c>
      <c r="E87" s="96" t="s">
        <v>99</v>
      </c>
      <c r="F87" s="101" t="s">
        <v>858</v>
      </c>
      <c r="G87" s="97">
        <v>290400</v>
      </c>
      <c r="H87" s="97">
        <v>283434.78000000003</v>
      </c>
      <c r="I87" s="97">
        <v>0</v>
      </c>
      <c r="J87" s="97">
        <v>283434.68</v>
      </c>
      <c r="K87" s="97">
        <v>0</v>
      </c>
      <c r="L87" s="97">
        <v>283434.68</v>
      </c>
      <c r="M87" s="98">
        <v>0</v>
      </c>
      <c r="N87" s="99" t="s">
        <v>41</v>
      </c>
      <c r="O87" s="99" t="s">
        <v>374</v>
      </c>
      <c r="P87" s="85">
        <v>1</v>
      </c>
    </row>
    <row r="88" spans="1:16" s="48" customFormat="1">
      <c r="A88" s="96" t="s">
        <v>127</v>
      </c>
      <c r="B88" s="99" t="s">
        <v>606</v>
      </c>
      <c r="C88" s="99" t="s">
        <v>205</v>
      </c>
      <c r="D88" s="99" t="s">
        <v>107</v>
      </c>
      <c r="E88" s="96" t="s">
        <v>99</v>
      </c>
      <c r="F88" s="101" t="s">
        <v>454</v>
      </c>
      <c r="G88" s="97">
        <v>9594</v>
      </c>
      <c r="H88" s="97">
        <v>8671</v>
      </c>
      <c r="I88" s="97">
        <v>814.52</v>
      </c>
      <c r="J88" s="97">
        <v>7204</v>
      </c>
      <c r="K88" s="97">
        <v>7204</v>
      </c>
      <c r="L88" s="97">
        <v>0</v>
      </c>
      <c r="M88" s="98">
        <v>1</v>
      </c>
      <c r="N88" s="99" t="s">
        <v>41</v>
      </c>
      <c r="O88" s="99" t="s">
        <v>126</v>
      </c>
      <c r="P88" s="85">
        <v>1</v>
      </c>
    </row>
    <row r="89" spans="1:16" s="48" customFormat="1">
      <c r="A89" s="96" t="s">
        <v>128</v>
      </c>
      <c r="B89" s="99" t="s">
        <v>607</v>
      </c>
      <c r="C89" s="99" t="s">
        <v>205</v>
      </c>
      <c r="D89" s="99" t="s">
        <v>107</v>
      </c>
      <c r="E89" s="96" t="s">
        <v>99</v>
      </c>
      <c r="F89" s="101" t="s">
        <v>454</v>
      </c>
      <c r="G89" s="97">
        <v>9594</v>
      </c>
      <c r="H89" s="97">
        <v>8671</v>
      </c>
      <c r="I89" s="97">
        <v>814.52</v>
      </c>
      <c r="J89" s="97">
        <v>7204</v>
      </c>
      <c r="K89" s="97">
        <v>7204</v>
      </c>
      <c r="L89" s="97">
        <v>0</v>
      </c>
      <c r="M89" s="98">
        <v>1</v>
      </c>
      <c r="N89" s="99" t="s">
        <v>41</v>
      </c>
      <c r="O89" s="99" t="s">
        <v>126</v>
      </c>
      <c r="P89" s="85">
        <v>1</v>
      </c>
    </row>
    <row r="90" spans="1:16" s="48" customFormat="1">
      <c r="A90" s="96" t="s">
        <v>129</v>
      </c>
      <c r="B90" s="99" t="s">
        <v>608</v>
      </c>
      <c r="C90" s="99" t="s">
        <v>205</v>
      </c>
      <c r="D90" s="99" t="s">
        <v>107</v>
      </c>
      <c r="E90" s="96" t="s">
        <v>99</v>
      </c>
      <c r="F90" s="101" t="s">
        <v>454</v>
      </c>
      <c r="G90" s="97">
        <v>9440</v>
      </c>
      <c r="H90" s="97">
        <v>8536</v>
      </c>
      <c r="I90" s="97">
        <v>814.52</v>
      </c>
      <c r="J90" s="97">
        <v>7204</v>
      </c>
      <c r="K90" s="97">
        <v>7204</v>
      </c>
      <c r="L90" s="97">
        <v>0</v>
      </c>
      <c r="M90" s="98">
        <v>1</v>
      </c>
      <c r="N90" s="99" t="s">
        <v>41</v>
      </c>
      <c r="O90" s="99" t="s">
        <v>126</v>
      </c>
      <c r="P90" s="85">
        <v>1</v>
      </c>
    </row>
    <row r="91" spans="1:16" s="48" customFormat="1">
      <c r="A91" s="96" t="s">
        <v>130</v>
      </c>
      <c r="B91" s="99" t="s">
        <v>609</v>
      </c>
      <c r="C91" s="99" t="s">
        <v>205</v>
      </c>
      <c r="D91" s="99" t="s">
        <v>107</v>
      </c>
      <c r="E91" s="96" t="s">
        <v>99</v>
      </c>
      <c r="F91" s="101" t="s">
        <v>454</v>
      </c>
      <c r="G91" s="97">
        <v>9440</v>
      </c>
      <c r="H91" s="97">
        <v>8536</v>
      </c>
      <c r="I91" s="97">
        <v>814.52</v>
      </c>
      <c r="J91" s="97">
        <v>7204</v>
      </c>
      <c r="K91" s="97">
        <v>7204</v>
      </c>
      <c r="L91" s="97">
        <v>0</v>
      </c>
      <c r="M91" s="98">
        <v>1</v>
      </c>
      <c r="N91" s="99" t="s">
        <v>41</v>
      </c>
      <c r="O91" s="99" t="s">
        <v>126</v>
      </c>
      <c r="P91" s="85">
        <v>1</v>
      </c>
    </row>
    <row r="92" spans="1:16" s="48" customFormat="1">
      <c r="A92" s="96" t="s">
        <v>131</v>
      </c>
      <c r="B92" s="99" t="s">
        <v>610</v>
      </c>
      <c r="C92" s="99" t="s">
        <v>205</v>
      </c>
      <c r="D92" s="99" t="s">
        <v>107</v>
      </c>
      <c r="E92" s="96" t="s">
        <v>99</v>
      </c>
      <c r="F92" s="101" t="s">
        <v>454</v>
      </c>
      <c r="G92" s="97">
        <v>9440</v>
      </c>
      <c r="H92" s="97">
        <v>8536</v>
      </c>
      <c r="I92" s="97">
        <v>814.52</v>
      </c>
      <c r="J92" s="97">
        <v>7204</v>
      </c>
      <c r="K92" s="97">
        <v>7204</v>
      </c>
      <c r="L92" s="97">
        <v>0</v>
      </c>
      <c r="M92" s="98">
        <v>1</v>
      </c>
      <c r="N92" s="99" t="s">
        <v>41</v>
      </c>
      <c r="O92" s="99" t="s">
        <v>126</v>
      </c>
      <c r="P92" s="85">
        <v>1</v>
      </c>
    </row>
    <row r="93" spans="1:16" s="48" customFormat="1">
      <c r="A93" s="96" t="s">
        <v>132</v>
      </c>
      <c r="B93" s="99" t="s">
        <v>611</v>
      </c>
      <c r="C93" s="99" t="s">
        <v>205</v>
      </c>
      <c r="D93" s="99" t="s">
        <v>107</v>
      </c>
      <c r="E93" s="96" t="s">
        <v>99</v>
      </c>
      <c r="F93" s="101" t="s">
        <v>454</v>
      </c>
      <c r="G93" s="97">
        <v>9440</v>
      </c>
      <c r="H93" s="97">
        <v>8536</v>
      </c>
      <c r="I93" s="97">
        <v>814.52</v>
      </c>
      <c r="J93" s="97">
        <v>7204</v>
      </c>
      <c r="K93" s="97">
        <v>7204</v>
      </c>
      <c r="L93" s="97">
        <v>0</v>
      </c>
      <c r="M93" s="98">
        <v>1</v>
      </c>
      <c r="N93" s="99" t="s">
        <v>41</v>
      </c>
      <c r="O93" s="99" t="s">
        <v>126</v>
      </c>
      <c r="P93" s="85">
        <v>1</v>
      </c>
    </row>
    <row r="94" spans="1:16" s="48" customFormat="1">
      <c r="A94" s="96" t="s">
        <v>133</v>
      </c>
      <c r="B94" s="99" t="s">
        <v>612</v>
      </c>
      <c r="C94" s="99" t="s">
        <v>205</v>
      </c>
      <c r="D94" s="99" t="s">
        <v>107</v>
      </c>
      <c r="E94" s="96" t="s">
        <v>99</v>
      </c>
      <c r="F94" s="101" t="s">
        <v>454</v>
      </c>
      <c r="G94" s="97">
        <v>5256</v>
      </c>
      <c r="H94" s="97">
        <v>4788</v>
      </c>
      <c r="I94" s="97">
        <v>11.9</v>
      </c>
      <c r="J94" s="97">
        <v>4256</v>
      </c>
      <c r="K94" s="97">
        <v>4256</v>
      </c>
      <c r="L94" s="97">
        <v>0</v>
      </c>
      <c r="M94" s="98">
        <v>1</v>
      </c>
      <c r="N94" s="99" t="s">
        <v>41</v>
      </c>
      <c r="O94" s="99" t="s">
        <v>126</v>
      </c>
      <c r="P94" s="85">
        <v>1</v>
      </c>
    </row>
    <row r="95" spans="1:16" s="48" customFormat="1">
      <c r="A95" s="96" t="s">
        <v>134</v>
      </c>
      <c r="B95" s="99" t="s">
        <v>613</v>
      </c>
      <c r="C95" s="99" t="s">
        <v>205</v>
      </c>
      <c r="D95" s="99" t="s">
        <v>107</v>
      </c>
      <c r="E95" s="96" t="s">
        <v>99</v>
      </c>
      <c r="F95" s="101" t="s">
        <v>454</v>
      </c>
      <c r="G95" s="97">
        <v>9440</v>
      </c>
      <c r="H95" s="97">
        <v>8536</v>
      </c>
      <c r="I95" s="97">
        <v>814.52</v>
      </c>
      <c r="J95" s="97">
        <v>7204</v>
      </c>
      <c r="K95" s="97">
        <v>7204</v>
      </c>
      <c r="L95" s="97">
        <v>0</v>
      </c>
      <c r="M95" s="98">
        <v>1</v>
      </c>
      <c r="N95" s="99" t="s">
        <v>41</v>
      </c>
      <c r="O95" s="99" t="s">
        <v>126</v>
      </c>
      <c r="P95" s="85">
        <v>1</v>
      </c>
    </row>
    <row r="96" spans="1:16" s="48" customFormat="1">
      <c r="A96" s="96" t="s">
        <v>135</v>
      </c>
      <c r="B96" s="99" t="s">
        <v>614</v>
      </c>
      <c r="C96" s="99" t="s">
        <v>205</v>
      </c>
      <c r="D96" s="99" t="s">
        <v>107</v>
      </c>
      <c r="E96" s="96" t="s">
        <v>99</v>
      </c>
      <c r="F96" s="101" t="s">
        <v>454</v>
      </c>
      <c r="G96" s="97">
        <v>9440</v>
      </c>
      <c r="H96" s="97">
        <v>8536</v>
      </c>
      <c r="I96" s="97">
        <v>814.52</v>
      </c>
      <c r="J96" s="97">
        <v>7204</v>
      </c>
      <c r="K96" s="97">
        <v>3602</v>
      </c>
      <c r="L96" s="97">
        <v>3602</v>
      </c>
      <c r="M96" s="98">
        <v>0.5</v>
      </c>
      <c r="N96" s="99" t="s">
        <v>41</v>
      </c>
      <c r="O96" s="99" t="s">
        <v>126</v>
      </c>
      <c r="P96" s="85">
        <v>1</v>
      </c>
    </row>
    <row r="97" spans="1:16" s="48" customFormat="1">
      <c r="A97" s="96" t="s">
        <v>136</v>
      </c>
      <c r="B97" s="99" t="s">
        <v>615</v>
      </c>
      <c r="C97" s="99" t="s">
        <v>205</v>
      </c>
      <c r="D97" s="99" t="s">
        <v>107</v>
      </c>
      <c r="E97" s="96" t="s">
        <v>99</v>
      </c>
      <c r="F97" s="101" t="s">
        <v>454</v>
      </c>
      <c r="G97" s="97">
        <v>5256</v>
      </c>
      <c r="H97" s="97">
        <v>4788</v>
      </c>
      <c r="I97" s="97">
        <v>11.9</v>
      </c>
      <c r="J97" s="97">
        <v>4256</v>
      </c>
      <c r="K97" s="97">
        <v>4256</v>
      </c>
      <c r="L97" s="97">
        <v>0</v>
      </c>
      <c r="M97" s="98">
        <v>1</v>
      </c>
      <c r="N97" s="99" t="s">
        <v>41</v>
      </c>
      <c r="O97" s="99" t="s">
        <v>126</v>
      </c>
      <c r="P97" s="85">
        <v>1</v>
      </c>
    </row>
    <row r="98" spans="1:16" s="48" customFormat="1">
      <c r="A98" s="96" t="s">
        <v>182</v>
      </c>
      <c r="B98" s="99" t="s">
        <v>616</v>
      </c>
      <c r="C98" s="99" t="s">
        <v>205</v>
      </c>
      <c r="D98" s="99" t="s">
        <v>107</v>
      </c>
      <c r="E98" s="96" t="s">
        <v>102</v>
      </c>
      <c r="F98" s="101" t="s">
        <v>454</v>
      </c>
      <c r="G98" s="97">
        <v>35584</v>
      </c>
      <c r="H98" s="97">
        <v>32627</v>
      </c>
      <c r="I98" s="97">
        <v>240.58</v>
      </c>
      <c r="J98" s="97">
        <v>31200</v>
      </c>
      <c r="K98" s="97">
        <v>31200</v>
      </c>
      <c r="L98" s="97">
        <v>0</v>
      </c>
      <c r="M98" s="98">
        <v>1</v>
      </c>
      <c r="N98" s="99" t="s">
        <v>41</v>
      </c>
      <c r="O98" s="96" t="s">
        <v>178</v>
      </c>
      <c r="P98" s="85">
        <v>1</v>
      </c>
    </row>
    <row r="99" spans="1:16" s="48" customFormat="1">
      <c r="A99" s="96" t="s">
        <v>249</v>
      </c>
      <c r="B99" s="99" t="s">
        <v>617</v>
      </c>
      <c r="C99" s="99" t="s">
        <v>205</v>
      </c>
      <c r="D99" s="99" t="s">
        <v>107</v>
      </c>
      <c r="E99" s="96" t="s">
        <v>99</v>
      </c>
      <c r="F99" s="101" t="s">
        <v>454</v>
      </c>
      <c r="G99" s="97">
        <v>10184</v>
      </c>
      <c r="H99" s="97">
        <v>9108</v>
      </c>
      <c r="I99" s="97">
        <v>3913.05</v>
      </c>
      <c r="J99" s="97">
        <v>4400</v>
      </c>
      <c r="K99" s="97">
        <v>4400</v>
      </c>
      <c r="L99" s="97">
        <v>0</v>
      </c>
      <c r="M99" s="98">
        <v>1</v>
      </c>
      <c r="N99" s="99" t="s">
        <v>41</v>
      </c>
      <c r="O99" s="96" t="s">
        <v>250</v>
      </c>
      <c r="P99" s="85">
        <v>1</v>
      </c>
    </row>
    <row r="100" spans="1:16" s="48" customFormat="1">
      <c r="A100" s="96" t="s">
        <v>376</v>
      </c>
      <c r="B100" s="99" t="s">
        <v>618</v>
      </c>
      <c r="C100" s="99" t="s">
        <v>205</v>
      </c>
      <c r="D100" s="99" t="s">
        <v>341</v>
      </c>
      <c r="E100" s="96" t="s">
        <v>99</v>
      </c>
      <c r="F100" s="101" t="s">
        <v>228</v>
      </c>
      <c r="G100" s="97">
        <v>8400</v>
      </c>
      <c r="H100" s="97">
        <v>7504</v>
      </c>
      <c r="I100" s="97">
        <v>66.38</v>
      </c>
      <c r="J100" s="97">
        <v>6206.67</v>
      </c>
      <c r="K100" s="97">
        <v>6206.67</v>
      </c>
      <c r="L100" s="97">
        <v>0</v>
      </c>
      <c r="M100" s="98">
        <v>1</v>
      </c>
      <c r="N100" s="99" t="s">
        <v>41</v>
      </c>
      <c r="O100" s="99" t="s">
        <v>374</v>
      </c>
      <c r="P100" s="85">
        <v>1</v>
      </c>
    </row>
    <row r="101" spans="1:16" s="48" customFormat="1">
      <c r="A101" s="96" t="s">
        <v>376</v>
      </c>
      <c r="B101" s="99" t="s">
        <v>618</v>
      </c>
      <c r="C101" s="99" t="s">
        <v>205</v>
      </c>
      <c r="D101" s="99" t="s">
        <v>341</v>
      </c>
      <c r="E101" s="96" t="s">
        <v>102</v>
      </c>
      <c r="F101" s="101" t="s">
        <v>228</v>
      </c>
      <c r="G101" s="97">
        <v>6230</v>
      </c>
      <c r="H101" s="97">
        <v>6025</v>
      </c>
      <c r="I101" s="97">
        <v>47.75</v>
      </c>
      <c r="J101" s="97">
        <v>5320</v>
      </c>
      <c r="K101" s="97">
        <v>3990</v>
      </c>
      <c r="L101" s="97">
        <v>1330</v>
      </c>
      <c r="M101" s="98">
        <v>0.75</v>
      </c>
      <c r="N101" s="99" t="s">
        <v>41</v>
      </c>
      <c r="O101" s="99" t="s">
        <v>374</v>
      </c>
      <c r="P101" s="85"/>
    </row>
    <row r="102" spans="1:16" s="48" customFormat="1">
      <c r="A102" s="96" t="s">
        <v>300</v>
      </c>
      <c r="B102" s="99" t="s">
        <v>619</v>
      </c>
      <c r="C102" s="99" t="s">
        <v>205</v>
      </c>
      <c r="D102" s="99" t="s">
        <v>107</v>
      </c>
      <c r="E102" s="96" t="s">
        <v>99</v>
      </c>
      <c r="F102" s="101" t="s">
        <v>454</v>
      </c>
      <c r="G102" s="97">
        <v>6584</v>
      </c>
      <c r="H102" s="97">
        <v>5892</v>
      </c>
      <c r="I102" s="97">
        <v>1921.91</v>
      </c>
      <c r="J102" s="97">
        <v>3300</v>
      </c>
      <c r="K102" s="97">
        <v>3300</v>
      </c>
      <c r="L102" s="97">
        <v>0</v>
      </c>
      <c r="M102" s="98">
        <v>1</v>
      </c>
      <c r="N102" s="99" t="s">
        <v>41</v>
      </c>
      <c r="O102" s="99" t="s">
        <v>298</v>
      </c>
      <c r="P102" s="85">
        <v>1</v>
      </c>
    </row>
    <row r="103" spans="1:16" s="48" customFormat="1">
      <c r="A103" s="96" t="s">
        <v>301</v>
      </c>
      <c r="B103" s="99" t="s">
        <v>620</v>
      </c>
      <c r="C103" s="99" t="s">
        <v>205</v>
      </c>
      <c r="D103" s="99" t="s">
        <v>107</v>
      </c>
      <c r="E103" s="96" t="s">
        <v>99</v>
      </c>
      <c r="F103" s="101" t="s">
        <v>454</v>
      </c>
      <c r="G103" s="97">
        <v>6584</v>
      </c>
      <c r="H103" s="97">
        <v>5892</v>
      </c>
      <c r="I103" s="97">
        <v>1921.91</v>
      </c>
      <c r="J103" s="97">
        <v>3300</v>
      </c>
      <c r="K103" s="97">
        <v>3300</v>
      </c>
      <c r="L103" s="97">
        <v>0</v>
      </c>
      <c r="M103" s="98">
        <v>1</v>
      </c>
      <c r="N103" s="99" t="s">
        <v>41</v>
      </c>
      <c r="O103" s="99" t="s">
        <v>298</v>
      </c>
      <c r="P103" s="85">
        <v>1</v>
      </c>
    </row>
    <row r="104" spans="1:16" s="48" customFormat="1">
      <c r="A104" s="96" t="s">
        <v>302</v>
      </c>
      <c r="B104" s="99" t="s">
        <v>621</v>
      </c>
      <c r="C104" s="99" t="s">
        <v>205</v>
      </c>
      <c r="D104" s="99" t="s">
        <v>107</v>
      </c>
      <c r="E104" s="96" t="s">
        <v>99</v>
      </c>
      <c r="F104" s="101" t="s">
        <v>454</v>
      </c>
      <c r="G104" s="97">
        <v>6584</v>
      </c>
      <c r="H104" s="97">
        <v>5892</v>
      </c>
      <c r="I104" s="97">
        <v>1921.91</v>
      </c>
      <c r="J104" s="97">
        <v>3300</v>
      </c>
      <c r="K104" s="97">
        <v>3300</v>
      </c>
      <c r="L104" s="97">
        <v>0</v>
      </c>
      <c r="M104" s="98">
        <v>1</v>
      </c>
      <c r="N104" s="99" t="s">
        <v>41</v>
      </c>
      <c r="O104" s="99" t="s">
        <v>298</v>
      </c>
      <c r="P104" s="85">
        <v>1</v>
      </c>
    </row>
    <row r="105" spans="1:16" s="48" customFormat="1">
      <c r="A105" s="96" t="s">
        <v>303</v>
      </c>
      <c r="B105" s="99" t="s">
        <v>622</v>
      </c>
      <c r="C105" s="99" t="s">
        <v>205</v>
      </c>
      <c r="D105" s="99" t="s">
        <v>107</v>
      </c>
      <c r="E105" s="96" t="s">
        <v>99</v>
      </c>
      <c r="F105" s="101" t="s">
        <v>454</v>
      </c>
      <c r="G105" s="97">
        <v>6584</v>
      </c>
      <c r="H105" s="97">
        <v>5892</v>
      </c>
      <c r="I105" s="97">
        <v>1921.91</v>
      </c>
      <c r="J105" s="97">
        <v>3300</v>
      </c>
      <c r="K105" s="97">
        <v>3300</v>
      </c>
      <c r="L105" s="97">
        <v>0</v>
      </c>
      <c r="M105" s="98">
        <v>1</v>
      </c>
      <c r="N105" s="99" t="s">
        <v>41</v>
      </c>
      <c r="O105" s="99" t="s">
        <v>298</v>
      </c>
      <c r="P105" s="85">
        <v>1</v>
      </c>
    </row>
    <row r="106" spans="1:16" s="48" customFormat="1">
      <c r="A106" s="96" t="s">
        <v>304</v>
      </c>
      <c r="B106" s="99" t="s">
        <v>623</v>
      </c>
      <c r="C106" s="99" t="s">
        <v>205</v>
      </c>
      <c r="D106" s="99" t="s">
        <v>107</v>
      </c>
      <c r="E106" s="96" t="s">
        <v>99</v>
      </c>
      <c r="F106" s="101" t="s">
        <v>454</v>
      </c>
      <c r="G106" s="97">
        <v>6584</v>
      </c>
      <c r="H106" s="97">
        <v>5892</v>
      </c>
      <c r="I106" s="97">
        <v>1921.91</v>
      </c>
      <c r="J106" s="97">
        <v>3300</v>
      </c>
      <c r="K106" s="97">
        <v>3300</v>
      </c>
      <c r="L106" s="97">
        <v>0</v>
      </c>
      <c r="M106" s="98">
        <v>1</v>
      </c>
      <c r="N106" s="99" t="s">
        <v>41</v>
      </c>
      <c r="O106" s="99" t="s">
        <v>298</v>
      </c>
      <c r="P106" s="85">
        <v>1</v>
      </c>
    </row>
    <row r="107" spans="1:16" s="48" customFormat="1">
      <c r="A107" s="96" t="s">
        <v>410</v>
      </c>
      <c r="B107" s="99" t="s">
        <v>624</v>
      </c>
      <c r="C107" s="99" t="s">
        <v>205</v>
      </c>
      <c r="D107" s="99" t="s">
        <v>341</v>
      </c>
      <c r="E107" s="96" t="s">
        <v>99</v>
      </c>
      <c r="F107" s="101" t="s">
        <v>228</v>
      </c>
      <c r="G107" s="97">
        <v>9900</v>
      </c>
      <c r="H107" s="97">
        <v>8844</v>
      </c>
      <c r="I107" s="97">
        <v>66.38</v>
      </c>
      <c r="J107" s="97">
        <v>7448</v>
      </c>
      <c r="K107" s="97">
        <v>7448</v>
      </c>
      <c r="L107" s="97">
        <v>0</v>
      </c>
      <c r="M107" s="98">
        <v>1</v>
      </c>
      <c r="N107" s="99" t="s">
        <v>41</v>
      </c>
      <c r="O107" s="99" t="s">
        <v>411</v>
      </c>
      <c r="P107" s="85">
        <v>1</v>
      </c>
    </row>
    <row r="108" spans="1:16" s="48" customFormat="1">
      <c r="A108" s="96" t="s">
        <v>410</v>
      </c>
      <c r="B108" s="99" t="s">
        <v>624</v>
      </c>
      <c r="C108" s="99" t="s">
        <v>205</v>
      </c>
      <c r="D108" s="99" t="s">
        <v>341</v>
      </c>
      <c r="E108" s="96" t="s">
        <v>102</v>
      </c>
      <c r="F108" s="101" t="s">
        <v>228</v>
      </c>
      <c r="G108" s="97">
        <v>8250</v>
      </c>
      <c r="H108" s="97">
        <v>8040</v>
      </c>
      <c r="I108" s="97">
        <v>66.849999999999994</v>
      </c>
      <c r="J108" s="97">
        <v>7448</v>
      </c>
      <c r="K108" s="97">
        <v>7448</v>
      </c>
      <c r="L108" s="97">
        <v>0</v>
      </c>
      <c r="M108" s="98">
        <v>1</v>
      </c>
      <c r="N108" s="99" t="s">
        <v>41</v>
      </c>
      <c r="O108" s="99" t="s">
        <v>411</v>
      </c>
      <c r="P108" s="85"/>
    </row>
    <row r="109" spans="1:16" s="48" customFormat="1">
      <c r="A109" s="96" t="s">
        <v>468</v>
      </c>
      <c r="B109" s="99" t="s">
        <v>469</v>
      </c>
      <c r="C109" s="99" t="s">
        <v>205</v>
      </c>
      <c r="D109" s="99" t="s">
        <v>470</v>
      </c>
      <c r="E109" s="96" t="s">
        <v>99</v>
      </c>
      <c r="F109" s="101" t="s">
        <v>869</v>
      </c>
      <c r="G109" s="97">
        <v>535000</v>
      </c>
      <c r="H109" s="97">
        <v>495504</v>
      </c>
      <c r="I109" s="97">
        <v>0</v>
      </c>
      <c r="J109" s="97">
        <v>0</v>
      </c>
      <c r="K109" s="97">
        <v>0</v>
      </c>
      <c r="L109" s="97">
        <v>0</v>
      </c>
      <c r="M109" s="98">
        <v>0</v>
      </c>
      <c r="N109" s="99" t="s">
        <v>41</v>
      </c>
      <c r="O109" s="99" t="s">
        <v>477</v>
      </c>
      <c r="P109" s="85">
        <v>1</v>
      </c>
    </row>
    <row r="110" spans="1:16" s="48" customFormat="1">
      <c r="A110" s="96" t="s">
        <v>468</v>
      </c>
      <c r="B110" s="99" t="s">
        <v>469</v>
      </c>
      <c r="C110" s="99" t="s">
        <v>205</v>
      </c>
      <c r="D110" s="99" t="s">
        <v>470</v>
      </c>
      <c r="E110" s="96" t="s">
        <v>102</v>
      </c>
      <c r="F110" s="101" t="s">
        <v>869</v>
      </c>
      <c r="G110" s="97">
        <v>96000</v>
      </c>
      <c r="H110" s="97">
        <v>88032</v>
      </c>
      <c r="I110" s="97">
        <v>5242.13</v>
      </c>
      <c r="J110" s="97">
        <v>82709.72</v>
      </c>
      <c r="K110" s="97">
        <v>82709.72</v>
      </c>
      <c r="L110" s="97">
        <v>0</v>
      </c>
      <c r="M110" s="98">
        <v>1</v>
      </c>
      <c r="N110" s="99" t="s">
        <v>41</v>
      </c>
      <c r="O110" s="99" t="s">
        <v>477</v>
      </c>
      <c r="P110" s="85"/>
    </row>
    <row r="111" spans="1:16" s="48" customFormat="1">
      <c r="A111" s="96" t="s">
        <v>471</v>
      </c>
      <c r="B111" s="99" t="s">
        <v>472</v>
      </c>
      <c r="C111" s="99" t="s">
        <v>205</v>
      </c>
      <c r="D111" s="99" t="s">
        <v>470</v>
      </c>
      <c r="E111" s="96" t="s">
        <v>99</v>
      </c>
      <c r="F111" s="101" t="s">
        <v>869</v>
      </c>
      <c r="G111" s="97">
        <v>529500</v>
      </c>
      <c r="H111" s="97">
        <v>490144</v>
      </c>
      <c r="I111" s="97">
        <v>0</v>
      </c>
      <c r="J111" s="97">
        <v>0</v>
      </c>
      <c r="K111" s="97">
        <v>0</v>
      </c>
      <c r="L111" s="97">
        <v>0</v>
      </c>
      <c r="M111" s="98">
        <v>0</v>
      </c>
      <c r="N111" s="99" t="s">
        <v>41</v>
      </c>
      <c r="O111" s="99" t="s">
        <v>477</v>
      </c>
      <c r="P111" s="85">
        <v>1</v>
      </c>
    </row>
    <row r="112" spans="1:16" s="48" customFormat="1">
      <c r="A112" s="96" t="s">
        <v>471</v>
      </c>
      <c r="B112" s="99" t="s">
        <v>472</v>
      </c>
      <c r="C112" s="99" t="s">
        <v>205</v>
      </c>
      <c r="D112" s="99" t="s">
        <v>470</v>
      </c>
      <c r="E112" s="96" t="s">
        <v>102</v>
      </c>
      <c r="F112" s="101" t="s">
        <v>869</v>
      </c>
      <c r="G112" s="97">
        <v>96000</v>
      </c>
      <c r="H112" s="97">
        <v>88032</v>
      </c>
      <c r="I112" s="97">
        <v>5242.13</v>
      </c>
      <c r="J112" s="97">
        <v>82709.72</v>
      </c>
      <c r="K112" s="97">
        <v>82709.72</v>
      </c>
      <c r="L112" s="97">
        <v>0</v>
      </c>
      <c r="M112" s="98">
        <v>1</v>
      </c>
      <c r="N112" s="99" t="s">
        <v>41</v>
      </c>
      <c r="O112" s="99" t="s">
        <v>477</v>
      </c>
      <c r="P112" s="85"/>
    </row>
    <row r="113" spans="1:16" s="48" customFormat="1">
      <c r="A113" s="96" t="s">
        <v>473</v>
      </c>
      <c r="B113" s="99" t="s">
        <v>474</v>
      </c>
      <c r="C113" s="99" t="s">
        <v>205</v>
      </c>
      <c r="D113" s="99" t="s">
        <v>470</v>
      </c>
      <c r="E113" s="96" t="s">
        <v>99</v>
      </c>
      <c r="F113" s="101" t="s">
        <v>869</v>
      </c>
      <c r="G113" s="97">
        <v>530500</v>
      </c>
      <c r="H113" s="97">
        <v>491061</v>
      </c>
      <c r="I113" s="97">
        <v>0</v>
      </c>
      <c r="J113" s="97">
        <v>0</v>
      </c>
      <c r="K113" s="97">
        <v>0</v>
      </c>
      <c r="L113" s="97">
        <v>0</v>
      </c>
      <c r="M113" s="98">
        <v>0</v>
      </c>
      <c r="N113" s="99" t="s">
        <v>41</v>
      </c>
      <c r="O113" s="99" t="s">
        <v>477</v>
      </c>
      <c r="P113" s="85">
        <v>1</v>
      </c>
    </row>
    <row r="114" spans="1:16" s="48" customFormat="1">
      <c r="A114" s="96" t="s">
        <v>473</v>
      </c>
      <c r="B114" s="99" t="s">
        <v>474</v>
      </c>
      <c r="C114" s="99" t="s">
        <v>205</v>
      </c>
      <c r="D114" s="99" t="s">
        <v>470</v>
      </c>
      <c r="E114" s="96" t="s">
        <v>102</v>
      </c>
      <c r="F114" s="101" t="s">
        <v>869</v>
      </c>
      <c r="G114" s="97">
        <v>96000</v>
      </c>
      <c r="H114" s="97">
        <v>88032</v>
      </c>
      <c r="I114" s="97">
        <v>5242.13</v>
      </c>
      <c r="J114" s="97">
        <v>82709.72</v>
      </c>
      <c r="K114" s="97">
        <v>82709.72</v>
      </c>
      <c r="L114" s="97">
        <v>0</v>
      </c>
      <c r="M114" s="98">
        <v>1</v>
      </c>
      <c r="N114" s="99" t="s">
        <v>41</v>
      </c>
      <c r="O114" s="99" t="s">
        <v>477</v>
      </c>
      <c r="P114" s="85"/>
    </row>
    <row r="115" spans="1:16" s="48" customFormat="1">
      <c r="A115" s="96" t="s">
        <v>475</v>
      </c>
      <c r="B115" s="99" t="s">
        <v>476</v>
      </c>
      <c r="C115" s="99" t="s">
        <v>205</v>
      </c>
      <c r="D115" s="99" t="s">
        <v>470</v>
      </c>
      <c r="E115" s="96" t="s">
        <v>99</v>
      </c>
      <c r="F115" s="101" t="s">
        <v>869</v>
      </c>
      <c r="G115" s="97">
        <v>768800</v>
      </c>
      <c r="H115" s="97">
        <v>711038</v>
      </c>
      <c r="I115" s="97">
        <v>0</v>
      </c>
      <c r="J115" s="97">
        <v>0</v>
      </c>
      <c r="K115" s="97">
        <v>0</v>
      </c>
      <c r="L115" s="97">
        <v>0</v>
      </c>
      <c r="M115" s="98">
        <v>0</v>
      </c>
      <c r="N115" s="99" t="s">
        <v>41</v>
      </c>
      <c r="O115" s="99" t="s">
        <v>477</v>
      </c>
      <c r="P115" s="85">
        <v>1</v>
      </c>
    </row>
    <row r="116" spans="1:16" s="48" customFormat="1">
      <c r="A116" s="96" t="s">
        <v>870</v>
      </c>
      <c r="B116" s="99" t="s">
        <v>871</v>
      </c>
      <c r="C116" s="99" t="s">
        <v>205</v>
      </c>
      <c r="D116" s="99" t="s">
        <v>470</v>
      </c>
      <c r="E116" s="96" t="s">
        <v>99</v>
      </c>
      <c r="F116" s="101" t="s">
        <v>869</v>
      </c>
      <c r="G116" s="97">
        <v>524000</v>
      </c>
      <c r="H116" s="97">
        <v>484784</v>
      </c>
      <c r="I116" s="97">
        <v>0</v>
      </c>
      <c r="J116" s="97">
        <v>0</v>
      </c>
      <c r="K116" s="97">
        <v>0</v>
      </c>
      <c r="L116" s="97">
        <v>0</v>
      </c>
      <c r="M116" s="98">
        <v>0</v>
      </c>
      <c r="N116" s="99" t="s">
        <v>41</v>
      </c>
      <c r="O116" s="99" t="s">
        <v>477</v>
      </c>
      <c r="P116" s="85">
        <v>1</v>
      </c>
    </row>
    <row r="117" spans="1:16" s="48" customFormat="1">
      <c r="A117" s="96" t="s">
        <v>366</v>
      </c>
      <c r="B117" s="99" t="s">
        <v>625</v>
      </c>
      <c r="C117" s="99" t="s">
        <v>205</v>
      </c>
      <c r="D117" s="99" t="s">
        <v>193</v>
      </c>
      <c r="E117" s="96" t="s">
        <v>102</v>
      </c>
      <c r="F117" s="101" t="s">
        <v>453</v>
      </c>
      <c r="G117" s="97">
        <v>231014</v>
      </c>
      <c r="H117" s="97">
        <v>231014</v>
      </c>
      <c r="I117" s="97">
        <v>0</v>
      </c>
      <c r="J117" s="97">
        <v>231014.11</v>
      </c>
      <c r="K117" s="97">
        <v>181601.81</v>
      </c>
      <c r="L117" s="97">
        <v>49412.3</v>
      </c>
      <c r="M117" s="98">
        <v>0.78600000000000003</v>
      </c>
      <c r="N117" s="99" t="s">
        <v>44</v>
      </c>
      <c r="O117" s="99" t="s">
        <v>369</v>
      </c>
      <c r="P117" s="85">
        <v>1</v>
      </c>
    </row>
    <row r="118" spans="1:16" s="48" customFormat="1">
      <c r="A118" s="103"/>
      <c r="B118" s="103"/>
      <c r="C118" s="103"/>
      <c r="D118" s="103"/>
      <c r="E118" s="141"/>
      <c r="F118" s="142"/>
      <c r="G118" s="143"/>
      <c r="H118" s="143"/>
      <c r="I118" s="143"/>
      <c r="J118" s="143"/>
      <c r="K118" s="143"/>
      <c r="L118" s="143"/>
      <c r="M118" s="144"/>
      <c r="N118" s="103"/>
      <c r="O118" s="103"/>
      <c r="P118" s="85"/>
    </row>
    <row r="119" spans="1:16" s="48" customFormat="1">
      <c r="A119" s="104" t="s">
        <v>80</v>
      </c>
      <c r="B119" s="105"/>
      <c r="C119" s="105"/>
      <c r="D119" s="105"/>
      <c r="E119" s="139"/>
      <c r="F119" s="140"/>
      <c r="G119" s="106"/>
      <c r="H119" s="106"/>
      <c r="I119" s="106"/>
      <c r="J119" s="106"/>
      <c r="K119" s="106"/>
      <c r="L119" s="106"/>
      <c r="M119" s="107"/>
      <c r="N119" s="105"/>
      <c r="O119" s="105"/>
      <c r="P119" s="85"/>
    </row>
    <row r="120" spans="1:16" s="48" customFormat="1">
      <c r="A120" s="96" t="s">
        <v>84</v>
      </c>
      <c r="B120" s="99" t="s">
        <v>626</v>
      </c>
      <c r="C120" s="99" t="s">
        <v>83</v>
      </c>
      <c r="D120" s="99" t="s">
        <v>77</v>
      </c>
      <c r="E120" s="96" t="s">
        <v>98</v>
      </c>
      <c r="F120" s="101" t="s">
        <v>850</v>
      </c>
      <c r="G120" s="97">
        <v>70080</v>
      </c>
      <c r="H120" s="97">
        <v>65631.75</v>
      </c>
      <c r="I120" s="97">
        <v>784.6</v>
      </c>
      <c r="J120" s="97">
        <v>64770.69</v>
      </c>
      <c r="K120" s="97">
        <v>2782.53</v>
      </c>
      <c r="L120" s="97">
        <v>61988.160000000003</v>
      </c>
      <c r="M120" s="98">
        <v>4.2999999999999997E-2</v>
      </c>
      <c r="N120" s="99" t="s">
        <v>41</v>
      </c>
      <c r="O120" s="99"/>
      <c r="P120" s="77">
        <v>1</v>
      </c>
    </row>
    <row r="121" spans="1:16" s="48" customFormat="1">
      <c r="A121" s="96" t="s">
        <v>85</v>
      </c>
      <c r="B121" s="99" t="s">
        <v>627</v>
      </c>
      <c r="C121" s="99" t="s">
        <v>83</v>
      </c>
      <c r="D121" s="99" t="s">
        <v>77</v>
      </c>
      <c r="E121" s="96" t="s">
        <v>99</v>
      </c>
      <c r="F121" s="101" t="s">
        <v>850</v>
      </c>
      <c r="G121" s="97">
        <v>72000</v>
      </c>
      <c r="H121" s="97">
        <v>67055.22</v>
      </c>
      <c r="I121" s="97">
        <v>1061.95</v>
      </c>
      <c r="J121" s="97">
        <v>65915.100000000006</v>
      </c>
      <c r="K121" s="97">
        <v>342.99</v>
      </c>
      <c r="L121" s="97">
        <v>65572.11</v>
      </c>
      <c r="M121" s="98">
        <v>5.0000000000000001E-3</v>
      </c>
      <c r="N121" s="99" t="s">
        <v>41</v>
      </c>
      <c r="O121" s="99"/>
      <c r="P121" s="85">
        <v>1</v>
      </c>
    </row>
    <row r="122" spans="1:16" s="48" customFormat="1">
      <c r="A122" s="96" t="s">
        <v>240</v>
      </c>
      <c r="B122" s="99" t="s">
        <v>628</v>
      </c>
      <c r="C122" s="99" t="s">
        <v>83</v>
      </c>
      <c r="D122" s="99" t="s">
        <v>77</v>
      </c>
      <c r="E122" s="96" t="s">
        <v>98</v>
      </c>
      <c r="F122" s="101" t="s">
        <v>850</v>
      </c>
      <c r="G122" s="97">
        <v>14016</v>
      </c>
      <c r="H122" s="97">
        <v>13126.35</v>
      </c>
      <c r="I122" s="97">
        <v>30.19</v>
      </c>
      <c r="J122" s="97">
        <v>13080.55</v>
      </c>
      <c r="K122" s="97">
        <v>12538.61</v>
      </c>
      <c r="L122" s="97">
        <v>541.94000000000005</v>
      </c>
      <c r="M122" s="98">
        <v>0.95899999999999996</v>
      </c>
      <c r="N122" s="99" t="s">
        <v>41</v>
      </c>
      <c r="O122" s="99" t="s">
        <v>241</v>
      </c>
      <c r="P122" s="85"/>
    </row>
    <row r="123" spans="1:16" s="48" customFormat="1">
      <c r="A123" s="96" t="s">
        <v>240</v>
      </c>
      <c r="B123" s="99" t="s">
        <v>628</v>
      </c>
      <c r="C123" s="99" t="s">
        <v>83</v>
      </c>
      <c r="D123" s="99" t="s">
        <v>77</v>
      </c>
      <c r="E123" s="96" t="s">
        <v>99</v>
      </c>
      <c r="F123" s="101" t="s">
        <v>850</v>
      </c>
      <c r="G123" s="97">
        <v>28800</v>
      </c>
      <c r="H123" s="97">
        <v>26822.09</v>
      </c>
      <c r="I123" s="97">
        <v>47.47</v>
      </c>
      <c r="J123" s="97">
        <v>26743.27</v>
      </c>
      <c r="K123" s="97">
        <v>25970.02</v>
      </c>
      <c r="L123" s="97">
        <v>773.24</v>
      </c>
      <c r="M123" s="98">
        <v>0.97099999999999997</v>
      </c>
      <c r="N123" s="99" t="s">
        <v>41</v>
      </c>
      <c r="O123" s="99" t="s">
        <v>241</v>
      </c>
      <c r="P123" s="85">
        <v>1</v>
      </c>
    </row>
    <row r="124" spans="1:16" s="48" customFormat="1">
      <c r="A124" s="96" t="s">
        <v>271</v>
      </c>
      <c r="B124" s="99" t="s">
        <v>629</v>
      </c>
      <c r="C124" s="99" t="s">
        <v>83</v>
      </c>
      <c r="D124" s="99" t="s">
        <v>267</v>
      </c>
      <c r="E124" s="96" t="s">
        <v>99</v>
      </c>
      <c r="F124" s="101" t="s">
        <v>852</v>
      </c>
      <c r="G124" s="97">
        <v>81600</v>
      </c>
      <c r="H124" s="97">
        <v>74146.64</v>
      </c>
      <c r="I124" s="97">
        <v>937.3</v>
      </c>
      <c r="J124" s="97">
        <v>72085.64</v>
      </c>
      <c r="K124" s="97">
        <v>48865.79</v>
      </c>
      <c r="L124" s="97">
        <v>23219.85</v>
      </c>
      <c r="M124" s="98">
        <v>0.67800000000000005</v>
      </c>
      <c r="N124" s="99" t="s">
        <v>41</v>
      </c>
      <c r="O124" s="99" t="s">
        <v>269</v>
      </c>
      <c r="P124" s="85">
        <v>1</v>
      </c>
    </row>
    <row r="125" spans="1:16" s="48" customFormat="1">
      <c r="A125" s="96" t="s">
        <v>272</v>
      </c>
      <c r="B125" s="99" t="s">
        <v>630</v>
      </c>
      <c r="C125" s="99" t="s">
        <v>83</v>
      </c>
      <c r="D125" s="99" t="s">
        <v>267</v>
      </c>
      <c r="E125" s="96" t="s">
        <v>99</v>
      </c>
      <c r="F125" s="101" t="s">
        <v>852</v>
      </c>
      <c r="G125" s="97">
        <v>316800</v>
      </c>
      <c r="H125" s="97">
        <v>287863.43</v>
      </c>
      <c r="I125" s="97">
        <v>3121.27</v>
      </c>
      <c r="J125" s="97">
        <v>281857.84999999998</v>
      </c>
      <c r="K125" s="97">
        <v>194786.57</v>
      </c>
      <c r="L125" s="97">
        <v>87071.27</v>
      </c>
      <c r="M125" s="98">
        <v>0.69099999999999995</v>
      </c>
      <c r="N125" s="99" t="s">
        <v>41</v>
      </c>
      <c r="O125" s="99" t="s">
        <v>269</v>
      </c>
      <c r="P125" s="85">
        <v>1</v>
      </c>
    </row>
    <row r="126" spans="1:16" s="48" customFormat="1">
      <c r="A126" s="96" t="s">
        <v>297</v>
      </c>
      <c r="B126" s="99" t="s">
        <v>631</v>
      </c>
      <c r="C126" s="99" t="s">
        <v>83</v>
      </c>
      <c r="D126" s="99" t="s">
        <v>267</v>
      </c>
      <c r="E126" s="96" t="s">
        <v>99</v>
      </c>
      <c r="F126" s="101" t="s">
        <v>852</v>
      </c>
      <c r="G126" s="97">
        <v>76800</v>
      </c>
      <c r="H126" s="97">
        <v>69785.08</v>
      </c>
      <c r="I126" s="97">
        <v>637.38</v>
      </c>
      <c r="J126" s="97">
        <v>68086.59</v>
      </c>
      <c r="K126" s="97">
        <v>14031.15</v>
      </c>
      <c r="L126" s="97">
        <v>54055.44</v>
      </c>
      <c r="M126" s="98">
        <v>0.20599999999999999</v>
      </c>
      <c r="N126" s="99" t="s">
        <v>44</v>
      </c>
      <c r="O126" s="99" t="s">
        <v>298</v>
      </c>
      <c r="P126" s="77">
        <v>1</v>
      </c>
    </row>
    <row r="127" spans="1:16" s="48" customFormat="1">
      <c r="A127" s="96" t="s">
        <v>429</v>
      </c>
      <c r="B127" s="99" t="s">
        <v>632</v>
      </c>
      <c r="C127" s="99" t="s">
        <v>83</v>
      </c>
      <c r="D127" s="99" t="s">
        <v>267</v>
      </c>
      <c r="E127" s="96" t="s">
        <v>99</v>
      </c>
      <c r="F127" s="101" t="s">
        <v>852</v>
      </c>
      <c r="G127" s="97">
        <v>316799.99</v>
      </c>
      <c r="H127" s="97">
        <v>287863.43</v>
      </c>
      <c r="I127" s="97">
        <v>3917.2</v>
      </c>
      <c r="J127" s="97">
        <v>281457.37</v>
      </c>
      <c r="K127" s="97">
        <v>186288.07</v>
      </c>
      <c r="L127" s="97">
        <v>95169.29</v>
      </c>
      <c r="M127" s="98">
        <v>0.66200000000000003</v>
      </c>
      <c r="N127" s="99" t="s">
        <v>41</v>
      </c>
      <c r="O127" s="99" t="s">
        <v>427</v>
      </c>
      <c r="P127" s="77">
        <v>1</v>
      </c>
    </row>
    <row r="128" spans="1:16" s="48" customFormat="1">
      <c r="A128" s="96" t="s">
        <v>464</v>
      </c>
      <c r="B128" s="99" t="s">
        <v>633</v>
      </c>
      <c r="C128" s="99" t="s">
        <v>83</v>
      </c>
      <c r="D128" s="99" t="s">
        <v>267</v>
      </c>
      <c r="E128" s="96" t="s">
        <v>99</v>
      </c>
      <c r="F128" s="101" t="s">
        <v>852</v>
      </c>
      <c r="G128" s="97">
        <v>152800</v>
      </c>
      <c r="H128" s="97">
        <v>137237.99</v>
      </c>
      <c r="I128" s="97">
        <v>981.85</v>
      </c>
      <c r="J128" s="97">
        <v>134160.91</v>
      </c>
      <c r="K128" s="97">
        <v>54116.56</v>
      </c>
      <c r="L128" s="97">
        <v>80044.350000000006</v>
      </c>
      <c r="M128" s="98">
        <v>0.40300000000000002</v>
      </c>
      <c r="N128" s="99" t="s">
        <v>41</v>
      </c>
      <c r="O128" s="99" t="s">
        <v>460</v>
      </c>
      <c r="P128" s="77">
        <v>1</v>
      </c>
    </row>
    <row r="129" spans="1:16" s="48" customFormat="1">
      <c r="A129" s="96" t="s">
        <v>295</v>
      </c>
      <c r="B129" s="99" t="s">
        <v>634</v>
      </c>
      <c r="C129" s="99" t="s">
        <v>83</v>
      </c>
      <c r="D129" s="99" t="s">
        <v>267</v>
      </c>
      <c r="E129" s="96" t="s">
        <v>99</v>
      </c>
      <c r="F129" s="101" t="s">
        <v>852</v>
      </c>
      <c r="G129" s="97">
        <v>33600</v>
      </c>
      <c r="H129" s="97">
        <v>30530.98</v>
      </c>
      <c r="I129" s="97">
        <v>586.69000000000005</v>
      </c>
      <c r="J129" s="97">
        <v>29489.47</v>
      </c>
      <c r="K129" s="97">
        <v>5370.6</v>
      </c>
      <c r="L129" s="97">
        <v>24118.880000000001</v>
      </c>
      <c r="M129" s="98">
        <v>0.182</v>
      </c>
      <c r="N129" s="99" t="s">
        <v>44</v>
      </c>
      <c r="O129" s="99" t="s">
        <v>294</v>
      </c>
      <c r="P129" s="77">
        <v>1</v>
      </c>
    </row>
    <row r="130" spans="1:16" s="48" customFormat="1">
      <c r="A130" s="96" t="s">
        <v>494</v>
      </c>
      <c r="B130" s="99" t="s">
        <v>495</v>
      </c>
      <c r="C130" s="99" t="s">
        <v>83</v>
      </c>
      <c r="D130" s="99" t="s">
        <v>267</v>
      </c>
      <c r="E130" s="96" t="s">
        <v>99</v>
      </c>
      <c r="F130" s="101" t="s">
        <v>853</v>
      </c>
      <c r="G130" s="97">
        <v>470400</v>
      </c>
      <c r="H130" s="97">
        <v>423055.29</v>
      </c>
      <c r="I130" s="97">
        <v>3995.07</v>
      </c>
      <c r="J130" s="97">
        <v>415360.08</v>
      </c>
      <c r="K130" s="97">
        <v>243776.28</v>
      </c>
      <c r="L130" s="97">
        <v>171583.8</v>
      </c>
      <c r="M130" s="98">
        <v>0.58699999999999997</v>
      </c>
      <c r="N130" s="99" t="s">
        <v>41</v>
      </c>
      <c r="O130" s="99" t="s">
        <v>493</v>
      </c>
      <c r="P130" s="85">
        <v>1</v>
      </c>
    </row>
    <row r="131" spans="1:16" s="48" customFormat="1">
      <c r="A131" s="96" t="s">
        <v>550</v>
      </c>
      <c r="B131" s="99" t="s">
        <v>551</v>
      </c>
      <c r="C131" s="99" t="s">
        <v>83</v>
      </c>
      <c r="D131" s="99" t="s">
        <v>267</v>
      </c>
      <c r="E131" s="96" t="s">
        <v>99</v>
      </c>
      <c r="F131" s="101" t="s">
        <v>853</v>
      </c>
      <c r="G131" s="97">
        <v>470400</v>
      </c>
      <c r="H131" s="97">
        <v>423055.28</v>
      </c>
      <c r="I131" s="97">
        <v>309.38</v>
      </c>
      <c r="J131" s="97">
        <v>419043.13</v>
      </c>
      <c r="K131" s="97">
        <v>73567.759999999995</v>
      </c>
      <c r="L131" s="97">
        <v>345475.37</v>
      </c>
      <c r="M131" s="98">
        <v>0.17599999999999999</v>
      </c>
      <c r="N131" s="99" t="s">
        <v>41</v>
      </c>
      <c r="O131" s="99" t="s">
        <v>547</v>
      </c>
      <c r="P131" s="85">
        <v>1</v>
      </c>
    </row>
    <row r="132" spans="1:16" s="48" customFormat="1">
      <c r="A132" s="96" t="s">
        <v>813</v>
      </c>
      <c r="B132" s="99" t="s">
        <v>814</v>
      </c>
      <c r="C132" s="99" t="s">
        <v>83</v>
      </c>
      <c r="D132" s="99" t="s">
        <v>806</v>
      </c>
      <c r="E132" s="96" t="s">
        <v>99</v>
      </c>
      <c r="F132" s="101" t="s">
        <v>852</v>
      </c>
      <c r="G132" s="97">
        <v>431232</v>
      </c>
      <c r="H132" s="97">
        <v>384258.46</v>
      </c>
      <c r="I132" s="97">
        <v>218.16</v>
      </c>
      <c r="J132" s="97">
        <v>383742.64</v>
      </c>
      <c r="K132" s="97">
        <v>1525</v>
      </c>
      <c r="L132" s="97">
        <v>382217.64</v>
      </c>
      <c r="M132" s="98">
        <v>4.0000000000000001E-3</v>
      </c>
      <c r="N132" s="99" t="s">
        <v>41</v>
      </c>
      <c r="O132" s="99" t="s">
        <v>817</v>
      </c>
      <c r="P132" s="85">
        <v>1</v>
      </c>
    </row>
    <row r="133" spans="1:16" s="48" customFormat="1">
      <c r="A133" s="96" t="s">
        <v>815</v>
      </c>
      <c r="B133" s="99" t="s">
        <v>816</v>
      </c>
      <c r="C133" s="99" t="s">
        <v>83</v>
      </c>
      <c r="D133" s="99" t="s">
        <v>806</v>
      </c>
      <c r="E133" s="96" t="s">
        <v>99</v>
      </c>
      <c r="F133" s="101" t="s">
        <v>854</v>
      </c>
      <c r="G133" s="97">
        <v>584832</v>
      </c>
      <c r="H133" s="97">
        <v>530410.43999999994</v>
      </c>
      <c r="I133" s="97">
        <v>216.48</v>
      </c>
      <c r="J133" s="97">
        <v>525769.01</v>
      </c>
      <c r="K133" s="97">
        <v>15916.02</v>
      </c>
      <c r="L133" s="97">
        <v>509852.99</v>
      </c>
      <c r="M133" s="98">
        <v>0.03</v>
      </c>
      <c r="N133" s="99" t="s">
        <v>41</v>
      </c>
      <c r="O133" s="99" t="s">
        <v>817</v>
      </c>
      <c r="P133" s="85">
        <v>1</v>
      </c>
    </row>
    <row r="134" spans="1:16" s="48" customFormat="1">
      <c r="A134" s="96" t="s">
        <v>862</v>
      </c>
      <c r="B134" s="99" t="s">
        <v>863</v>
      </c>
      <c r="C134" s="99" t="s">
        <v>83</v>
      </c>
      <c r="D134" s="99" t="s">
        <v>806</v>
      </c>
      <c r="E134" s="96" t="s">
        <v>99</v>
      </c>
      <c r="F134" s="101" t="s">
        <v>852</v>
      </c>
      <c r="G134" s="97">
        <v>402688</v>
      </c>
      <c r="H134" s="97">
        <v>365237.8</v>
      </c>
      <c r="I134" s="97">
        <v>213.14</v>
      </c>
      <c r="J134" s="97">
        <v>362067.20000000001</v>
      </c>
      <c r="K134" s="97">
        <v>3791.6</v>
      </c>
      <c r="L134" s="97">
        <v>358275.6</v>
      </c>
      <c r="M134" s="98">
        <v>0.01</v>
      </c>
      <c r="N134" s="99" t="s">
        <v>41</v>
      </c>
      <c r="O134" s="99" t="s">
        <v>861</v>
      </c>
      <c r="P134" s="85">
        <v>1</v>
      </c>
    </row>
    <row r="135" spans="1:16" s="48" customFormat="1">
      <c r="A135" s="96" t="s">
        <v>367</v>
      </c>
      <c r="B135" s="99" t="s">
        <v>635</v>
      </c>
      <c r="C135" s="99" t="s">
        <v>83</v>
      </c>
      <c r="D135" s="99" t="s">
        <v>267</v>
      </c>
      <c r="E135" s="96" t="s">
        <v>99</v>
      </c>
      <c r="F135" s="101" t="s">
        <v>852</v>
      </c>
      <c r="G135" s="97">
        <v>124800</v>
      </c>
      <c r="H135" s="97">
        <v>113400.75</v>
      </c>
      <c r="I135" s="97">
        <v>847.62</v>
      </c>
      <c r="J135" s="97">
        <v>110823.15</v>
      </c>
      <c r="K135" s="97">
        <v>40816.83</v>
      </c>
      <c r="L135" s="97">
        <v>70006.320000000007</v>
      </c>
      <c r="M135" s="98">
        <v>0.36799999999999999</v>
      </c>
      <c r="N135" s="99" t="s">
        <v>44</v>
      </c>
      <c r="O135" s="96" t="s">
        <v>369</v>
      </c>
      <c r="P135" s="77">
        <v>1</v>
      </c>
    </row>
    <row r="136" spans="1:16" s="48" customFormat="1">
      <c r="A136" s="96" t="s">
        <v>446</v>
      </c>
      <c r="B136" s="99" t="s">
        <v>636</v>
      </c>
      <c r="C136" s="99" t="s">
        <v>83</v>
      </c>
      <c r="D136" s="99" t="s">
        <v>267</v>
      </c>
      <c r="E136" s="96" t="s">
        <v>99</v>
      </c>
      <c r="F136" s="101" t="s">
        <v>852</v>
      </c>
      <c r="G136" s="97">
        <v>115200</v>
      </c>
      <c r="H136" s="97">
        <v>104677.62</v>
      </c>
      <c r="I136" s="97">
        <v>969.77</v>
      </c>
      <c r="J136" s="97">
        <v>102580.15</v>
      </c>
      <c r="K136" s="97">
        <v>63562.47</v>
      </c>
      <c r="L136" s="97">
        <v>39017.69</v>
      </c>
      <c r="M136" s="98">
        <v>0.62</v>
      </c>
      <c r="N136" s="99" t="s">
        <v>44</v>
      </c>
      <c r="O136" s="96" t="s">
        <v>444</v>
      </c>
      <c r="P136" s="77">
        <v>1</v>
      </c>
    </row>
    <row r="137" spans="1:16" s="48" customFormat="1">
      <c r="A137" s="96" t="s">
        <v>91</v>
      </c>
      <c r="B137" s="99" t="s">
        <v>637</v>
      </c>
      <c r="C137" s="99" t="s">
        <v>83</v>
      </c>
      <c r="D137" s="99" t="s">
        <v>77</v>
      </c>
      <c r="E137" s="96" t="s">
        <v>98</v>
      </c>
      <c r="F137" s="101" t="s">
        <v>850</v>
      </c>
      <c r="G137" s="97">
        <v>35038.019999999997</v>
      </c>
      <c r="H137" s="97">
        <v>32814.019999999997</v>
      </c>
      <c r="I137" s="97">
        <v>99.39</v>
      </c>
      <c r="J137" s="97">
        <v>32676.09</v>
      </c>
      <c r="K137" s="97">
        <v>342.86</v>
      </c>
      <c r="L137" s="97">
        <v>32333.23</v>
      </c>
      <c r="M137" s="98">
        <v>0.01</v>
      </c>
      <c r="N137" s="99" t="s">
        <v>44</v>
      </c>
      <c r="O137" s="99" t="s">
        <v>90</v>
      </c>
      <c r="P137" s="85">
        <v>1</v>
      </c>
    </row>
    <row r="138" spans="1:16" s="48" customFormat="1">
      <c r="A138" s="96" t="s">
        <v>91</v>
      </c>
      <c r="B138" s="99" t="s">
        <v>637</v>
      </c>
      <c r="C138" s="99" t="s">
        <v>83</v>
      </c>
      <c r="D138" s="99" t="s">
        <v>77</v>
      </c>
      <c r="E138" s="96" t="s">
        <v>99</v>
      </c>
      <c r="F138" s="101" t="s">
        <v>850</v>
      </c>
      <c r="G138" s="97">
        <v>9601.98</v>
      </c>
      <c r="H138" s="97">
        <v>8942.5499999999993</v>
      </c>
      <c r="I138" s="97">
        <v>152.27000000000001</v>
      </c>
      <c r="J138" s="97">
        <v>8780.56</v>
      </c>
      <c r="K138" s="97">
        <v>337.46</v>
      </c>
      <c r="L138" s="97">
        <v>8443.1</v>
      </c>
      <c r="M138" s="98">
        <v>3.7999999999999999E-2</v>
      </c>
      <c r="N138" s="99" t="s">
        <v>44</v>
      </c>
      <c r="O138" s="99" t="s">
        <v>90</v>
      </c>
      <c r="P138" s="85"/>
    </row>
    <row r="139" spans="1:16" s="48" customFormat="1">
      <c r="A139" s="96" t="s">
        <v>138</v>
      </c>
      <c r="B139" s="99" t="s">
        <v>638</v>
      </c>
      <c r="C139" s="99" t="s">
        <v>83</v>
      </c>
      <c r="D139" s="99" t="s">
        <v>107</v>
      </c>
      <c r="E139" s="96" t="s">
        <v>99</v>
      </c>
      <c r="F139" s="101" t="s">
        <v>390</v>
      </c>
      <c r="G139" s="97">
        <v>9440</v>
      </c>
      <c r="H139" s="97">
        <v>8536</v>
      </c>
      <c r="I139" s="97">
        <v>814.52</v>
      </c>
      <c r="J139" s="97">
        <v>7204</v>
      </c>
      <c r="K139" s="97">
        <v>7204</v>
      </c>
      <c r="L139" s="97">
        <v>0</v>
      </c>
      <c r="M139" s="98">
        <v>1</v>
      </c>
      <c r="N139" s="99" t="s">
        <v>41</v>
      </c>
      <c r="O139" s="99" t="s">
        <v>126</v>
      </c>
      <c r="P139" s="85">
        <v>1</v>
      </c>
    </row>
    <row r="140" spans="1:16" s="48" customFormat="1">
      <c r="A140" s="96" t="s">
        <v>139</v>
      </c>
      <c r="B140" s="99" t="s">
        <v>639</v>
      </c>
      <c r="C140" s="99" t="s">
        <v>83</v>
      </c>
      <c r="D140" s="99" t="s">
        <v>107</v>
      </c>
      <c r="E140" s="96" t="s">
        <v>99</v>
      </c>
      <c r="F140" s="101" t="s">
        <v>390</v>
      </c>
      <c r="G140" s="97">
        <v>9440</v>
      </c>
      <c r="H140" s="97">
        <v>8536</v>
      </c>
      <c r="I140" s="97">
        <v>814.52</v>
      </c>
      <c r="J140" s="97">
        <v>7204</v>
      </c>
      <c r="K140" s="97">
        <v>7204</v>
      </c>
      <c r="L140" s="97">
        <v>0</v>
      </c>
      <c r="M140" s="98">
        <v>1</v>
      </c>
      <c r="N140" s="99" t="s">
        <v>41</v>
      </c>
      <c r="O140" s="99" t="s">
        <v>126</v>
      </c>
      <c r="P140" s="85">
        <v>1</v>
      </c>
    </row>
    <row r="141" spans="1:16" s="48" customFormat="1">
      <c r="A141" s="96" t="s">
        <v>140</v>
      </c>
      <c r="B141" s="99" t="s">
        <v>640</v>
      </c>
      <c r="C141" s="99" t="s">
        <v>83</v>
      </c>
      <c r="D141" s="99" t="s">
        <v>107</v>
      </c>
      <c r="E141" s="96" t="s">
        <v>99</v>
      </c>
      <c r="F141" s="101" t="s">
        <v>390</v>
      </c>
      <c r="G141" s="97">
        <v>9440</v>
      </c>
      <c r="H141" s="97">
        <v>8536</v>
      </c>
      <c r="I141" s="97">
        <v>814.52</v>
      </c>
      <c r="J141" s="97">
        <v>7204</v>
      </c>
      <c r="K141" s="97">
        <v>7204</v>
      </c>
      <c r="L141" s="97">
        <v>0</v>
      </c>
      <c r="M141" s="98">
        <v>1</v>
      </c>
      <c r="N141" s="99" t="s">
        <v>41</v>
      </c>
      <c r="O141" s="99" t="s">
        <v>126</v>
      </c>
      <c r="P141" s="85">
        <v>1</v>
      </c>
    </row>
    <row r="142" spans="1:16" s="48" customFormat="1">
      <c r="A142" s="96" t="s">
        <v>141</v>
      </c>
      <c r="B142" s="99" t="s">
        <v>641</v>
      </c>
      <c r="C142" s="99" t="s">
        <v>83</v>
      </c>
      <c r="D142" s="99" t="s">
        <v>107</v>
      </c>
      <c r="E142" s="96" t="s">
        <v>99</v>
      </c>
      <c r="F142" s="101" t="s">
        <v>390</v>
      </c>
      <c r="G142" s="97">
        <v>9440</v>
      </c>
      <c r="H142" s="97">
        <v>8536</v>
      </c>
      <c r="I142" s="97">
        <v>814.52</v>
      </c>
      <c r="J142" s="97">
        <v>7204</v>
      </c>
      <c r="K142" s="97">
        <v>7204</v>
      </c>
      <c r="L142" s="97">
        <v>0</v>
      </c>
      <c r="M142" s="98">
        <v>1</v>
      </c>
      <c r="N142" s="99" t="s">
        <v>41</v>
      </c>
      <c r="O142" s="99" t="s">
        <v>126</v>
      </c>
      <c r="P142" s="85">
        <v>1</v>
      </c>
    </row>
    <row r="143" spans="1:16" s="48" customFormat="1">
      <c r="A143" s="96" t="s">
        <v>142</v>
      </c>
      <c r="B143" s="99" t="s">
        <v>642</v>
      </c>
      <c r="C143" s="99" t="s">
        <v>83</v>
      </c>
      <c r="D143" s="99" t="s">
        <v>107</v>
      </c>
      <c r="E143" s="96" t="s">
        <v>99</v>
      </c>
      <c r="F143" s="101" t="s">
        <v>454</v>
      </c>
      <c r="G143" s="97">
        <v>9440</v>
      </c>
      <c r="H143" s="97">
        <v>8536</v>
      </c>
      <c r="I143" s="97">
        <v>814.52</v>
      </c>
      <c r="J143" s="97">
        <v>7204</v>
      </c>
      <c r="K143" s="97">
        <v>7204</v>
      </c>
      <c r="L143" s="97">
        <v>0</v>
      </c>
      <c r="M143" s="98">
        <v>1</v>
      </c>
      <c r="N143" s="99" t="s">
        <v>41</v>
      </c>
      <c r="O143" s="99" t="s">
        <v>126</v>
      </c>
      <c r="P143" s="85">
        <v>1</v>
      </c>
    </row>
    <row r="144" spans="1:16" s="48" customFormat="1">
      <c r="A144" s="96" t="s">
        <v>143</v>
      </c>
      <c r="B144" s="99" t="s">
        <v>643</v>
      </c>
      <c r="C144" s="99" t="s">
        <v>83</v>
      </c>
      <c r="D144" s="99" t="s">
        <v>107</v>
      </c>
      <c r="E144" s="96" t="s">
        <v>99</v>
      </c>
      <c r="F144" s="101" t="s">
        <v>454</v>
      </c>
      <c r="G144" s="97">
        <v>9440</v>
      </c>
      <c r="H144" s="97">
        <v>8536</v>
      </c>
      <c r="I144" s="97">
        <v>814.52</v>
      </c>
      <c r="J144" s="97">
        <v>7204</v>
      </c>
      <c r="K144" s="97">
        <v>7204</v>
      </c>
      <c r="L144" s="97">
        <v>0</v>
      </c>
      <c r="M144" s="98">
        <v>1</v>
      </c>
      <c r="N144" s="99" t="s">
        <v>41</v>
      </c>
      <c r="O144" s="99" t="s">
        <v>126</v>
      </c>
      <c r="P144" s="85">
        <v>1</v>
      </c>
    </row>
    <row r="145" spans="1:16" s="48" customFormat="1">
      <c r="A145" s="96" t="s">
        <v>144</v>
      </c>
      <c r="B145" s="99" t="s">
        <v>644</v>
      </c>
      <c r="C145" s="99" t="s">
        <v>83</v>
      </c>
      <c r="D145" s="99" t="s">
        <v>107</v>
      </c>
      <c r="E145" s="96" t="s">
        <v>99</v>
      </c>
      <c r="F145" s="101" t="s">
        <v>454</v>
      </c>
      <c r="G145" s="97">
        <v>5256</v>
      </c>
      <c r="H145" s="97">
        <v>4788</v>
      </c>
      <c r="I145" s="97">
        <v>11.9</v>
      </c>
      <c r="J145" s="97">
        <v>4256</v>
      </c>
      <c r="K145" s="97">
        <v>4256</v>
      </c>
      <c r="L145" s="97">
        <v>0</v>
      </c>
      <c r="M145" s="98">
        <v>1</v>
      </c>
      <c r="N145" s="99" t="s">
        <v>41</v>
      </c>
      <c r="O145" s="99" t="s">
        <v>126</v>
      </c>
      <c r="P145" s="85">
        <v>1</v>
      </c>
    </row>
    <row r="146" spans="1:16" s="48" customFormat="1">
      <c r="A146" s="96" t="s">
        <v>145</v>
      </c>
      <c r="B146" s="99" t="s">
        <v>645</v>
      </c>
      <c r="C146" s="99" t="s">
        <v>83</v>
      </c>
      <c r="D146" s="99" t="s">
        <v>107</v>
      </c>
      <c r="E146" s="96" t="s">
        <v>99</v>
      </c>
      <c r="F146" s="101" t="s">
        <v>454</v>
      </c>
      <c r="G146" s="97">
        <v>9440</v>
      </c>
      <c r="H146" s="97">
        <v>8536</v>
      </c>
      <c r="I146" s="97">
        <v>814.52</v>
      </c>
      <c r="J146" s="97">
        <v>7669.02</v>
      </c>
      <c r="K146" s="97">
        <v>7669.02</v>
      </c>
      <c r="L146" s="97">
        <v>0</v>
      </c>
      <c r="M146" s="98">
        <v>1</v>
      </c>
      <c r="N146" s="99" t="s">
        <v>41</v>
      </c>
      <c r="O146" s="99" t="s">
        <v>126</v>
      </c>
      <c r="P146" s="85">
        <v>1</v>
      </c>
    </row>
    <row r="147" spans="1:16" s="48" customFormat="1">
      <c r="A147" s="96" t="s">
        <v>146</v>
      </c>
      <c r="B147" s="99" t="s">
        <v>646</v>
      </c>
      <c r="C147" s="99" t="s">
        <v>83</v>
      </c>
      <c r="D147" s="99" t="s">
        <v>107</v>
      </c>
      <c r="E147" s="96" t="s">
        <v>99</v>
      </c>
      <c r="F147" s="101" t="s">
        <v>454</v>
      </c>
      <c r="G147" s="97">
        <v>9440</v>
      </c>
      <c r="H147" s="97">
        <v>8536</v>
      </c>
      <c r="I147" s="97">
        <v>814.52</v>
      </c>
      <c r="J147" s="97">
        <v>7204</v>
      </c>
      <c r="K147" s="97">
        <v>7204</v>
      </c>
      <c r="L147" s="97">
        <v>0</v>
      </c>
      <c r="M147" s="98">
        <v>1</v>
      </c>
      <c r="N147" s="99" t="s">
        <v>41</v>
      </c>
      <c r="O147" s="99" t="s">
        <v>126</v>
      </c>
      <c r="P147" s="85">
        <v>1</v>
      </c>
    </row>
    <row r="148" spans="1:16" s="48" customFormat="1">
      <c r="A148" s="96" t="s">
        <v>147</v>
      </c>
      <c r="B148" s="99" t="s">
        <v>647</v>
      </c>
      <c r="C148" s="99" t="s">
        <v>83</v>
      </c>
      <c r="D148" s="99" t="s">
        <v>107</v>
      </c>
      <c r="E148" s="96" t="s">
        <v>99</v>
      </c>
      <c r="F148" s="101" t="s">
        <v>454</v>
      </c>
      <c r="G148" s="97">
        <v>5256</v>
      </c>
      <c r="H148" s="97">
        <v>4788</v>
      </c>
      <c r="I148" s="97">
        <v>11.9</v>
      </c>
      <c r="J148" s="97">
        <v>4256</v>
      </c>
      <c r="K148" s="97">
        <v>4256</v>
      </c>
      <c r="L148" s="97">
        <v>0</v>
      </c>
      <c r="M148" s="98">
        <v>1</v>
      </c>
      <c r="N148" s="99" t="s">
        <v>41</v>
      </c>
      <c r="O148" s="99" t="s">
        <v>126</v>
      </c>
      <c r="P148" s="85">
        <v>1</v>
      </c>
    </row>
    <row r="149" spans="1:16" s="48" customFormat="1">
      <c r="A149" s="96" t="s">
        <v>148</v>
      </c>
      <c r="B149" s="99" t="s">
        <v>648</v>
      </c>
      <c r="C149" s="99" t="s">
        <v>83</v>
      </c>
      <c r="D149" s="99" t="s">
        <v>94</v>
      </c>
      <c r="E149" s="96" t="s">
        <v>102</v>
      </c>
      <c r="F149" s="101" t="s">
        <v>123</v>
      </c>
      <c r="G149" s="97">
        <v>144730</v>
      </c>
      <c r="H149" s="97">
        <v>132713</v>
      </c>
      <c r="I149" s="97">
        <v>789.47</v>
      </c>
      <c r="J149" s="97">
        <v>129453.33</v>
      </c>
      <c r="K149" s="97">
        <v>129453.33</v>
      </c>
      <c r="L149" s="97">
        <v>0</v>
      </c>
      <c r="M149" s="98">
        <v>1</v>
      </c>
      <c r="N149" s="99" t="s">
        <v>41</v>
      </c>
      <c r="O149" s="99" t="s">
        <v>126</v>
      </c>
      <c r="P149" s="85">
        <v>1</v>
      </c>
    </row>
    <row r="150" spans="1:16" s="48" customFormat="1">
      <c r="A150" s="96" t="s">
        <v>251</v>
      </c>
      <c r="B150" s="99" t="s">
        <v>649</v>
      </c>
      <c r="C150" s="99" t="s">
        <v>83</v>
      </c>
      <c r="D150" s="99" t="s">
        <v>107</v>
      </c>
      <c r="E150" s="96" t="s">
        <v>99</v>
      </c>
      <c r="F150" s="101" t="s">
        <v>454</v>
      </c>
      <c r="G150" s="97">
        <v>14984</v>
      </c>
      <c r="H150" s="97">
        <v>13396</v>
      </c>
      <c r="I150" s="97">
        <v>5664.57</v>
      </c>
      <c r="J150" s="97">
        <v>7104</v>
      </c>
      <c r="K150" s="97">
        <v>7104</v>
      </c>
      <c r="L150" s="97">
        <v>0</v>
      </c>
      <c r="M150" s="98">
        <v>1</v>
      </c>
      <c r="N150" s="99" t="s">
        <v>41</v>
      </c>
      <c r="O150" s="96" t="s">
        <v>250</v>
      </c>
      <c r="P150" s="85">
        <v>1</v>
      </c>
    </row>
    <row r="151" spans="1:16" s="48" customFormat="1">
      <c r="A151" s="96" t="s">
        <v>252</v>
      </c>
      <c r="B151" s="99" t="s">
        <v>650</v>
      </c>
      <c r="C151" s="99" t="s">
        <v>83</v>
      </c>
      <c r="D151" s="99" t="s">
        <v>107</v>
      </c>
      <c r="E151" s="96" t="s">
        <v>99</v>
      </c>
      <c r="F151" s="101" t="s">
        <v>454</v>
      </c>
      <c r="G151" s="97">
        <v>14984</v>
      </c>
      <c r="H151" s="97">
        <v>13396</v>
      </c>
      <c r="I151" s="97">
        <v>5664.57</v>
      </c>
      <c r="J151" s="97">
        <v>7104</v>
      </c>
      <c r="K151" s="97">
        <v>7104</v>
      </c>
      <c r="L151" s="97">
        <v>0</v>
      </c>
      <c r="M151" s="98">
        <v>1</v>
      </c>
      <c r="N151" s="99" t="s">
        <v>41</v>
      </c>
      <c r="O151" s="96" t="s">
        <v>250</v>
      </c>
      <c r="P151" s="85">
        <v>1</v>
      </c>
    </row>
    <row r="152" spans="1:16" s="48" customFormat="1">
      <c r="A152" s="96" t="s">
        <v>253</v>
      </c>
      <c r="B152" s="99" t="s">
        <v>651</v>
      </c>
      <c r="C152" s="99" t="s">
        <v>83</v>
      </c>
      <c r="D152" s="99" t="s">
        <v>107</v>
      </c>
      <c r="E152" s="96" t="s">
        <v>99</v>
      </c>
      <c r="F152" s="101" t="s">
        <v>454</v>
      </c>
      <c r="G152" s="97">
        <v>14984</v>
      </c>
      <c r="H152" s="97">
        <v>13396</v>
      </c>
      <c r="I152" s="97">
        <v>5664.57</v>
      </c>
      <c r="J152" s="97">
        <v>7104</v>
      </c>
      <c r="K152" s="97">
        <v>7104</v>
      </c>
      <c r="L152" s="97">
        <v>0</v>
      </c>
      <c r="M152" s="98">
        <v>1</v>
      </c>
      <c r="N152" s="99" t="s">
        <v>41</v>
      </c>
      <c r="O152" s="96" t="s">
        <v>250</v>
      </c>
      <c r="P152" s="85">
        <v>1</v>
      </c>
    </row>
    <row r="153" spans="1:16" s="48" customFormat="1">
      <c r="A153" s="96" t="s">
        <v>254</v>
      </c>
      <c r="B153" s="99" t="s">
        <v>652</v>
      </c>
      <c r="C153" s="99" t="s">
        <v>83</v>
      </c>
      <c r="D153" s="99" t="s">
        <v>107</v>
      </c>
      <c r="E153" s="96" t="s">
        <v>99</v>
      </c>
      <c r="F153" s="101" t="s">
        <v>454</v>
      </c>
      <c r="G153" s="97">
        <v>14984</v>
      </c>
      <c r="H153" s="97">
        <v>13396</v>
      </c>
      <c r="I153" s="97">
        <v>5664.57</v>
      </c>
      <c r="J153" s="97">
        <v>7104</v>
      </c>
      <c r="K153" s="97">
        <v>7104</v>
      </c>
      <c r="L153" s="97">
        <v>0</v>
      </c>
      <c r="M153" s="98">
        <v>1</v>
      </c>
      <c r="N153" s="99" t="s">
        <v>41</v>
      </c>
      <c r="O153" s="96" t="s">
        <v>250</v>
      </c>
      <c r="P153" s="85">
        <v>1</v>
      </c>
    </row>
    <row r="154" spans="1:16" s="48" customFormat="1">
      <c r="A154" s="96" t="s">
        <v>255</v>
      </c>
      <c r="B154" s="99" t="s">
        <v>653</v>
      </c>
      <c r="C154" s="99" t="s">
        <v>83</v>
      </c>
      <c r="D154" s="99" t="s">
        <v>107</v>
      </c>
      <c r="E154" s="96" t="s">
        <v>102</v>
      </c>
      <c r="F154" s="101" t="s">
        <v>454</v>
      </c>
      <c r="G154" s="97">
        <v>30730</v>
      </c>
      <c r="H154" s="97">
        <v>28175</v>
      </c>
      <c r="I154" s="97">
        <v>12146.21</v>
      </c>
      <c r="J154" s="97">
        <v>13824</v>
      </c>
      <c r="K154" s="97">
        <v>13824</v>
      </c>
      <c r="L154" s="97">
        <v>0</v>
      </c>
      <c r="M154" s="98">
        <v>1</v>
      </c>
      <c r="N154" s="99" t="s">
        <v>41</v>
      </c>
      <c r="O154" s="96" t="s">
        <v>250</v>
      </c>
      <c r="P154" s="85">
        <v>1</v>
      </c>
    </row>
    <row r="155" spans="1:16" s="48" customFormat="1">
      <c r="A155" s="96" t="s">
        <v>256</v>
      </c>
      <c r="B155" s="99" t="s">
        <v>654</v>
      </c>
      <c r="C155" s="99" t="s">
        <v>83</v>
      </c>
      <c r="D155" s="99" t="s">
        <v>107</v>
      </c>
      <c r="E155" s="96" t="s">
        <v>99</v>
      </c>
      <c r="F155" s="101" t="s">
        <v>454</v>
      </c>
      <c r="G155" s="97">
        <v>14984</v>
      </c>
      <c r="H155" s="97">
        <v>13396</v>
      </c>
      <c r="I155" s="97">
        <v>5664.57</v>
      </c>
      <c r="J155" s="97">
        <v>7104</v>
      </c>
      <c r="K155" s="97">
        <v>7104</v>
      </c>
      <c r="L155" s="97">
        <v>0</v>
      </c>
      <c r="M155" s="98">
        <v>1</v>
      </c>
      <c r="N155" s="99" t="s">
        <v>41</v>
      </c>
      <c r="O155" s="96" t="s">
        <v>250</v>
      </c>
      <c r="P155" s="85">
        <v>1</v>
      </c>
    </row>
    <row r="156" spans="1:16" s="48" customFormat="1">
      <c r="A156" s="96" t="s">
        <v>257</v>
      </c>
      <c r="B156" s="99" t="s">
        <v>655</v>
      </c>
      <c r="C156" s="99" t="s">
        <v>83</v>
      </c>
      <c r="D156" s="99" t="s">
        <v>107</v>
      </c>
      <c r="E156" s="96" t="s">
        <v>99</v>
      </c>
      <c r="F156" s="101" t="s">
        <v>454</v>
      </c>
      <c r="G156" s="97">
        <v>14984</v>
      </c>
      <c r="H156" s="97">
        <v>13396</v>
      </c>
      <c r="I156" s="97">
        <v>5664.57</v>
      </c>
      <c r="J156" s="97">
        <v>7104</v>
      </c>
      <c r="K156" s="97">
        <v>7104</v>
      </c>
      <c r="L156" s="97">
        <v>0</v>
      </c>
      <c r="M156" s="98">
        <v>1</v>
      </c>
      <c r="N156" s="99" t="s">
        <v>41</v>
      </c>
      <c r="O156" s="96" t="s">
        <v>250</v>
      </c>
      <c r="P156" s="85">
        <v>1</v>
      </c>
    </row>
    <row r="157" spans="1:16" s="48" customFormat="1">
      <c r="A157" s="96" t="s">
        <v>258</v>
      </c>
      <c r="B157" s="99" t="s">
        <v>656</v>
      </c>
      <c r="C157" s="99" t="s">
        <v>83</v>
      </c>
      <c r="D157" s="99" t="s">
        <v>107</v>
      </c>
      <c r="E157" s="96" t="s">
        <v>99</v>
      </c>
      <c r="F157" s="101" t="s">
        <v>454</v>
      </c>
      <c r="G157" s="97">
        <v>14984</v>
      </c>
      <c r="H157" s="97">
        <v>13396</v>
      </c>
      <c r="I157" s="97">
        <v>5664.57</v>
      </c>
      <c r="J157" s="97">
        <v>7104</v>
      </c>
      <c r="K157" s="97">
        <v>7104</v>
      </c>
      <c r="L157" s="97">
        <v>0</v>
      </c>
      <c r="M157" s="98">
        <v>1</v>
      </c>
      <c r="N157" s="99" t="s">
        <v>41</v>
      </c>
      <c r="O157" s="96" t="s">
        <v>250</v>
      </c>
      <c r="P157" s="85">
        <v>1</v>
      </c>
    </row>
    <row r="158" spans="1:16" s="48" customFormat="1">
      <c r="A158" s="96" t="s">
        <v>259</v>
      </c>
      <c r="B158" s="99" t="s">
        <v>657</v>
      </c>
      <c r="C158" s="99" t="s">
        <v>83</v>
      </c>
      <c r="D158" s="99" t="s">
        <v>107</v>
      </c>
      <c r="E158" s="96" t="s">
        <v>99</v>
      </c>
      <c r="F158" s="101" t="s">
        <v>454</v>
      </c>
      <c r="G158" s="97">
        <v>14984</v>
      </c>
      <c r="H158" s="97">
        <v>13396</v>
      </c>
      <c r="I158" s="97">
        <v>5664.57</v>
      </c>
      <c r="J158" s="97">
        <v>7104</v>
      </c>
      <c r="K158" s="97">
        <v>7104</v>
      </c>
      <c r="L158" s="97">
        <v>0</v>
      </c>
      <c r="M158" s="98">
        <v>1</v>
      </c>
      <c r="N158" s="99" t="s">
        <v>41</v>
      </c>
      <c r="O158" s="96" t="s">
        <v>250</v>
      </c>
      <c r="P158" s="85">
        <v>1</v>
      </c>
    </row>
    <row r="159" spans="1:16" s="48" customFormat="1">
      <c r="A159" s="96" t="s">
        <v>260</v>
      </c>
      <c r="B159" s="99" t="s">
        <v>658</v>
      </c>
      <c r="C159" s="99" t="s">
        <v>83</v>
      </c>
      <c r="D159" s="99" t="s">
        <v>107</v>
      </c>
      <c r="E159" s="96" t="s">
        <v>99</v>
      </c>
      <c r="F159" s="101" t="s">
        <v>454</v>
      </c>
      <c r="G159" s="97">
        <v>14984</v>
      </c>
      <c r="H159" s="97">
        <v>13396</v>
      </c>
      <c r="I159" s="97">
        <v>5664.57</v>
      </c>
      <c r="J159" s="97">
        <v>7104</v>
      </c>
      <c r="K159" s="97">
        <v>7104</v>
      </c>
      <c r="L159" s="97">
        <v>0</v>
      </c>
      <c r="M159" s="98">
        <v>1</v>
      </c>
      <c r="N159" s="99" t="s">
        <v>41</v>
      </c>
      <c r="O159" s="96" t="s">
        <v>250</v>
      </c>
      <c r="P159" s="85">
        <v>1</v>
      </c>
    </row>
    <row r="160" spans="1:16" s="48" customFormat="1">
      <c r="A160" s="96" t="s">
        <v>261</v>
      </c>
      <c r="B160" s="99" t="s">
        <v>659</v>
      </c>
      <c r="C160" s="99" t="s">
        <v>83</v>
      </c>
      <c r="D160" s="99" t="s">
        <v>107</v>
      </c>
      <c r="E160" s="96" t="s">
        <v>102</v>
      </c>
      <c r="F160" s="101" t="s">
        <v>454</v>
      </c>
      <c r="G160" s="97">
        <v>30730</v>
      </c>
      <c r="H160" s="97">
        <v>28175</v>
      </c>
      <c r="I160" s="97">
        <v>12146.21</v>
      </c>
      <c r="J160" s="97">
        <v>13824</v>
      </c>
      <c r="K160" s="97">
        <v>13824</v>
      </c>
      <c r="L160" s="97">
        <v>0</v>
      </c>
      <c r="M160" s="98">
        <v>1</v>
      </c>
      <c r="N160" s="99" t="s">
        <v>41</v>
      </c>
      <c r="O160" s="96" t="s">
        <v>250</v>
      </c>
      <c r="P160" s="85">
        <v>1</v>
      </c>
    </row>
    <row r="161" spans="1:16" s="48" customFormat="1">
      <c r="A161" s="96" t="s">
        <v>262</v>
      </c>
      <c r="B161" s="99" t="s">
        <v>660</v>
      </c>
      <c r="C161" s="99" t="s">
        <v>83</v>
      </c>
      <c r="D161" s="99" t="s">
        <v>107</v>
      </c>
      <c r="E161" s="96" t="s">
        <v>99</v>
      </c>
      <c r="F161" s="101" t="s">
        <v>454</v>
      </c>
      <c r="G161" s="97">
        <v>14984</v>
      </c>
      <c r="H161" s="97">
        <v>13396</v>
      </c>
      <c r="I161" s="97">
        <v>5664.57</v>
      </c>
      <c r="J161" s="97">
        <v>7104</v>
      </c>
      <c r="K161" s="97">
        <v>7104</v>
      </c>
      <c r="L161" s="97">
        <v>0</v>
      </c>
      <c r="M161" s="98">
        <v>1</v>
      </c>
      <c r="N161" s="99" t="s">
        <v>41</v>
      </c>
      <c r="O161" s="96" t="s">
        <v>250</v>
      </c>
      <c r="P161" s="85">
        <v>1</v>
      </c>
    </row>
    <row r="162" spans="1:16" s="48" customFormat="1">
      <c r="A162" s="96" t="s">
        <v>263</v>
      </c>
      <c r="B162" s="99" t="s">
        <v>661</v>
      </c>
      <c r="C162" s="99" t="s">
        <v>83</v>
      </c>
      <c r="D162" s="99" t="s">
        <v>107</v>
      </c>
      <c r="E162" s="96" t="s">
        <v>99</v>
      </c>
      <c r="F162" s="101" t="s">
        <v>454</v>
      </c>
      <c r="G162" s="97">
        <v>6584</v>
      </c>
      <c r="H162" s="97">
        <v>5892</v>
      </c>
      <c r="I162" s="97">
        <v>1921.91</v>
      </c>
      <c r="J162" s="97">
        <v>3300</v>
      </c>
      <c r="K162" s="97">
        <v>3300</v>
      </c>
      <c r="L162" s="97">
        <v>0</v>
      </c>
      <c r="M162" s="98">
        <v>1</v>
      </c>
      <c r="N162" s="99" t="s">
        <v>41</v>
      </c>
      <c r="O162" s="96" t="s">
        <v>250</v>
      </c>
      <c r="P162" s="85">
        <v>1</v>
      </c>
    </row>
    <row r="163" spans="1:16" s="48" customFormat="1">
      <c r="A163" s="96" t="s">
        <v>377</v>
      </c>
      <c r="B163" s="99" t="s">
        <v>662</v>
      </c>
      <c r="C163" s="99" t="s">
        <v>83</v>
      </c>
      <c r="D163" s="99" t="s">
        <v>341</v>
      </c>
      <c r="E163" s="96" t="s">
        <v>99</v>
      </c>
      <c r="F163" s="101" t="s">
        <v>375</v>
      </c>
      <c r="G163" s="97">
        <v>8400</v>
      </c>
      <c r="H163" s="97">
        <v>7504</v>
      </c>
      <c r="I163" s="97">
        <v>66.38</v>
      </c>
      <c r="J163" s="97">
        <v>6206.67</v>
      </c>
      <c r="K163" s="97">
        <v>6206.67</v>
      </c>
      <c r="L163" s="97">
        <v>0</v>
      </c>
      <c r="M163" s="98">
        <v>1</v>
      </c>
      <c r="N163" s="99" t="s">
        <v>41</v>
      </c>
      <c r="O163" s="96" t="s">
        <v>374</v>
      </c>
      <c r="P163" s="85">
        <v>1</v>
      </c>
    </row>
    <row r="164" spans="1:16" s="48" customFormat="1">
      <c r="A164" s="96" t="s">
        <v>377</v>
      </c>
      <c r="B164" s="99" t="s">
        <v>662</v>
      </c>
      <c r="C164" s="99" t="s">
        <v>83</v>
      </c>
      <c r="D164" s="99" t="s">
        <v>341</v>
      </c>
      <c r="E164" s="96" t="s">
        <v>102</v>
      </c>
      <c r="F164" s="101" t="s">
        <v>375</v>
      </c>
      <c r="G164" s="97">
        <v>6230</v>
      </c>
      <c r="H164" s="97">
        <v>6025</v>
      </c>
      <c r="I164" s="97">
        <v>47.75</v>
      </c>
      <c r="J164" s="97">
        <v>5320</v>
      </c>
      <c r="K164" s="97">
        <v>3990</v>
      </c>
      <c r="L164" s="97">
        <v>1330</v>
      </c>
      <c r="M164" s="98">
        <v>0.75</v>
      </c>
      <c r="N164" s="99" t="s">
        <v>41</v>
      </c>
      <c r="O164" s="96" t="s">
        <v>374</v>
      </c>
      <c r="P164" s="85"/>
    </row>
    <row r="165" spans="1:16" s="48" customFormat="1">
      <c r="A165" s="96" t="s">
        <v>479</v>
      </c>
      <c r="B165" s="99" t="s">
        <v>480</v>
      </c>
      <c r="C165" s="99" t="s">
        <v>83</v>
      </c>
      <c r="D165" s="99" t="s">
        <v>470</v>
      </c>
      <c r="E165" s="96" t="s">
        <v>99</v>
      </c>
      <c r="F165" s="101" t="s">
        <v>869</v>
      </c>
      <c r="G165" s="97">
        <v>899600</v>
      </c>
      <c r="H165" s="97">
        <v>826424</v>
      </c>
      <c r="I165" s="97">
        <v>0</v>
      </c>
      <c r="J165" s="97">
        <v>0</v>
      </c>
      <c r="K165" s="97">
        <v>0</v>
      </c>
      <c r="L165" s="97">
        <v>0</v>
      </c>
      <c r="M165" s="98">
        <v>0</v>
      </c>
      <c r="N165" s="99" t="s">
        <v>41</v>
      </c>
      <c r="O165" s="96" t="s">
        <v>477</v>
      </c>
      <c r="P165" s="85">
        <v>1</v>
      </c>
    </row>
    <row r="166" spans="1:16" s="48" customFormat="1">
      <c r="A166" s="96" t="s">
        <v>479</v>
      </c>
      <c r="B166" s="99" t="s">
        <v>480</v>
      </c>
      <c r="C166" s="99" t="s">
        <v>83</v>
      </c>
      <c r="D166" s="99" t="s">
        <v>470</v>
      </c>
      <c r="E166" s="96" t="s">
        <v>102</v>
      </c>
      <c r="F166" s="101" t="s">
        <v>869</v>
      </c>
      <c r="G166" s="97">
        <v>96000</v>
      </c>
      <c r="H166" s="97">
        <v>88032</v>
      </c>
      <c r="I166" s="97">
        <v>5242.13</v>
      </c>
      <c r="J166" s="97">
        <v>82709.72</v>
      </c>
      <c r="K166" s="97">
        <v>82709.72</v>
      </c>
      <c r="L166" s="97">
        <v>0</v>
      </c>
      <c r="M166" s="98">
        <v>1</v>
      </c>
      <c r="N166" s="99" t="s">
        <v>41</v>
      </c>
      <c r="O166" s="96" t="s">
        <v>477</v>
      </c>
      <c r="P166" s="85"/>
    </row>
    <row r="167" spans="1:16" s="48" customFormat="1">
      <c r="A167" s="96" t="s">
        <v>481</v>
      </c>
      <c r="B167" s="99" t="s">
        <v>482</v>
      </c>
      <c r="C167" s="99" t="s">
        <v>83</v>
      </c>
      <c r="D167" s="99" t="s">
        <v>470</v>
      </c>
      <c r="E167" s="96" t="s">
        <v>99</v>
      </c>
      <c r="F167" s="101" t="s">
        <v>869</v>
      </c>
      <c r="G167" s="97">
        <v>901250</v>
      </c>
      <c r="H167" s="97">
        <v>828032</v>
      </c>
      <c r="I167" s="97">
        <v>0</v>
      </c>
      <c r="J167" s="97">
        <v>0</v>
      </c>
      <c r="K167" s="97">
        <v>0</v>
      </c>
      <c r="L167" s="97">
        <v>0</v>
      </c>
      <c r="M167" s="98">
        <v>0</v>
      </c>
      <c r="N167" s="99" t="s">
        <v>41</v>
      </c>
      <c r="O167" s="96" t="s">
        <v>477</v>
      </c>
      <c r="P167" s="85">
        <v>1</v>
      </c>
    </row>
    <row r="168" spans="1:16" s="48" customFormat="1">
      <c r="A168" s="96" t="s">
        <v>481</v>
      </c>
      <c r="B168" s="99" t="s">
        <v>482</v>
      </c>
      <c r="C168" s="99" t="s">
        <v>83</v>
      </c>
      <c r="D168" s="99" t="s">
        <v>470</v>
      </c>
      <c r="E168" s="96" t="s">
        <v>102</v>
      </c>
      <c r="F168" s="101" t="s">
        <v>869</v>
      </c>
      <c r="G168" s="97">
        <v>96000</v>
      </c>
      <c r="H168" s="97">
        <v>88032</v>
      </c>
      <c r="I168" s="97">
        <v>5242.13</v>
      </c>
      <c r="J168" s="97">
        <v>82709.72</v>
      </c>
      <c r="K168" s="97">
        <v>82709.72</v>
      </c>
      <c r="L168" s="97">
        <v>0</v>
      </c>
      <c r="M168" s="98">
        <v>1</v>
      </c>
      <c r="N168" s="99" t="s">
        <v>41</v>
      </c>
      <c r="O168" s="96" t="s">
        <v>477</v>
      </c>
      <c r="P168" s="85"/>
    </row>
    <row r="169" spans="1:16" s="48" customFormat="1">
      <c r="A169" s="103"/>
      <c r="B169" s="103"/>
      <c r="C169" s="103"/>
      <c r="D169" s="103"/>
      <c r="E169" s="103"/>
      <c r="F169" s="142"/>
      <c r="G169" s="143"/>
      <c r="H169" s="143"/>
      <c r="I169" s="143"/>
      <c r="J169" s="143"/>
      <c r="K169" s="143"/>
      <c r="L169" s="143"/>
      <c r="M169" s="144"/>
      <c r="N169" s="103"/>
      <c r="O169" s="103"/>
      <c r="P169" s="85"/>
    </row>
    <row r="170" spans="1:16" s="48" customFormat="1">
      <c r="A170" s="104" t="s">
        <v>208</v>
      </c>
      <c r="B170" s="105"/>
      <c r="C170" s="105"/>
      <c r="D170" s="105"/>
      <c r="E170" s="139"/>
      <c r="F170" s="140"/>
      <c r="G170" s="106"/>
      <c r="H170" s="106"/>
      <c r="I170" s="106"/>
      <c r="J170" s="106"/>
      <c r="K170" s="106"/>
      <c r="L170" s="106"/>
      <c r="M170" s="107"/>
      <c r="N170" s="105"/>
      <c r="O170" s="105"/>
      <c r="P170" s="85"/>
    </row>
    <row r="171" spans="1:16" s="48" customFormat="1">
      <c r="A171" s="96" t="s">
        <v>243</v>
      </c>
      <c r="B171" s="99" t="s">
        <v>663</v>
      </c>
      <c r="C171" s="99" t="s">
        <v>213</v>
      </c>
      <c r="D171" s="99" t="s">
        <v>45</v>
      </c>
      <c r="E171" s="96" t="s">
        <v>98</v>
      </c>
      <c r="F171" s="101" t="s">
        <v>850</v>
      </c>
      <c r="G171" s="97">
        <v>11680</v>
      </c>
      <c r="H171" s="97">
        <v>10938.62</v>
      </c>
      <c r="I171" s="97">
        <v>94.38</v>
      </c>
      <c r="J171" s="97">
        <v>10886.14</v>
      </c>
      <c r="K171" s="97">
        <v>10687.91</v>
      </c>
      <c r="L171" s="97">
        <v>198.23</v>
      </c>
      <c r="M171" s="98">
        <v>0.98199999999999998</v>
      </c>
      <c r="N171" s="99" t="s">
        <v>41</v>
      </c>
      <c r="O171" s="100" t="s">
        <v>204</v>
      </c>
      <c r="P171" s="85">
        <v>1</v>
      </c>
    </row>
    <row r="172" spans="1:16" s="48" customFormat="1">
      <c r="A172" s="96" t="s">
        <v>243</v>
      </c>
      <c r="B172" s="99" t="s">
        <v>663</v>
      </c>
      <c r="C172" s="99" t="s">
        <v>213</v>
      </c>
      <c r="D172" s="99" t="s">
        <v>45</v>
      </c>
      <c r="E172" s="96" t="s">
        <v>99</v>
      </c>
      <c r="F172" s="101" t="s">
        <v>850</v>
      </c>
      <c r="G172" s="97">
        <v>4800</v>
      </c>
      <c r="H172" s="97">
        <v>4470.3500000000004</v>
      </c>
      <c r="I172" s="97">
        <v>420.14</v>
      </c>
      <c r="J172" s="97">
        <v>3996.34</v>
      </c>
      <c r="K172" s="97">
        <v>1618.77</v>
      </c>
      <c r="L172" s="97">
        <v>2377.5700000000002</v>
      </c>
      <c r="M172" s="98">
        <v>0.40500000000000003</v>
      </c>
      <c r="N172" s="99" t="s">
        <v>41</v>
      </c>
      <c r="O172" s="100" t="s">
        <v>204</v>
      </c>
      <c r="P172" s="85"/>
    </row>
    <row r="173" spans="1:16" s="48" customFormat="1">
      <c r="A173" s="96" t="s">
        <v>209</v>
      </c>
      <c r="B173" s="99" t="s">
        <v>664</v>
      </c>
      <c r="C173" s="99" t="s">
        <v>213</v>
      </c>
      <c r="D173" s="99" t="s">
        <v>214</v>
      </c>
      <c r="E173" s="96" t="s">
        <v>99</v>
      </c>
      <c r="F173" s="101" t="s">
        <v>203</v>
      </c>
      <c r="G173" s="97">
        <v>21300</v>
      </c>
      <c r="H173" s="97">
        <v>19028</v>
      </c>
      <c r="I173" s="97">
        <v>659.8</v>
      </c>
      <c r="J173" s="97">
        <v>16515.86</v>
      </c>
      <c r="K173" s="97">
        <v>11606.71</v>
      </c>
      <c r="L173" s="97">
        <v>4909.1400000000003</v>
      </c>
      <c r="M173" s="98">
        <v>0.70299999999999996</v>
      </c>
      <c r="N173" s="99" t="s">
        <v>41</v>
      </c>
      <c r="O173" s="100" t="s">
        <v>204</v>
      </c>
      <c r="P173" s="85">
        <v>1</v>
      </c>
    </row>
    <row r="174" spans="1:16" s="48" customFormat="1">
      <c r="A174" s="96" t="s">
        <v>210</v>
      </c>
      <c r="B174" s="99" t="s">
        <v>665</v>
      </c>
      <c r="C174" s="99" t="s">
        <v>213</v>
      </c>
      <c r="D174" s="99" t="s">
        <v>89</v>
      </c>
      <c r="E174" s="96" t="s">
        <v>99</v>
      </c>
      <c r="F174" s="101" t="s">
        <v>215</v>
      </c>
      <c r="G174" s="97">
        <v>30600</v>
      </c>
      <c r="H174" s="97">
        <v>27336</v>
      </c>
      <c r="I174" s="97">
        <v>4756.45</v>
      </c>
      <c r="J174" s="97">
        <v>19872.330000000002</v>
      </c>
      <c r="K174" s="97">
        <v>5570.42</v>
      </c>
      <c r="L174" s="97">
        <v>14301.92</v>
      </c>
      <c r="M174" s="98">
        <v>0.28000000000000003</v>
      </c>
      <c r="N174" s="99" t="s">
        <v>41</v>
      </c>
      <c r="O174" s="100" t="s">
        <v>204</v>
      </c>
      <c r="P174" s="85">
        <v>1</v>
      </c>
    </row>
    <row r="175" spans="1:16" s="48" customFormat="1">
      <c r="A175" s="96" t="s">
        <v>211</v>
      </c>
      <c r="B175" s="99" t="s">
        <v>666</v>
      </c>
      <c r="C175" s="99" t="s">
        <v>213</v>
      </c>
      <c r="D175" s="99" t="s">
        <v>94</v>
      </c>
      <c r="E175" s="96" t="s">
        <v>99</v>
      </c>
      <c r="F175" s="101" t="s">
        <v>216</v>
      </c>
      <c r="G175" s="97">
        <v>19770</v>
      </c>
      <c r="H175" s="97">
        <v>17777</v>
      </c>
      <c r="I175" s="97">
        <v>416.47</v>
      </c>
      <c r="J175" s="97">
        <v>12548.42</v>
      </c>
      <c r="K175" s="97">
        <v>12547.17</v>
      </c>
      <c r="L175" s="97">
        <v>1.25</v>
      </c>
      <c r="M175" s="98">
        <v>1</v>
      </c>
      <c r="N175" s="99" t="s">
        <v>41</v>
      </c>
      <c r="O175" s="100" t="s">
        <v>204</v>
      </c>
      <c r="P175" s="85">
        <v>1</v>
      </c>
    </row>
    <row r="176" spans="1:16" s="48" customFormat="1">
      <c r="A176" s="96" t="s">
        <v>212</v>
      </c>
      <c r="B176" s="99" t="s">
        <v>667</v>
      </c>
      <c r="C176" s="99" t="s">
        <v>213</v>
      </c>
      <c r="D176" s="99" t="s">
        <v>206</v>
      </c>
      <c r="E176" s="96" t="s">
        <v>99</v>
      </c>
      <c r="F176" s="101" t="s">
        <v>207</v>
      </c>
      <c r="G176" s="97">
        <v>6244</v>
      </c>
      <c r="H176" s="97">
        <v>5614</v>
      </c>
      <c r="I176" s="97">
        <v>0</v>
      </c>
      <c r="J176" s="97">
        <v>5463.42</v>
      </c>
      <c r="K176" s="97">
        <v>5463.42</v>
      </c>
      <c r="L176" s="97">
        <v>0</v>
      </c>
      <c r="M176" s="98">
        <v>1</v>
      </c>
      <c r="N176" s="99" t="s">
        <v>41</v>
      </c>
      <c r="O176" s="100" t="s">
        <v>204</v>
      </c>
      <c r="P176" s="85">
        <v>1</v>
      </c>
    </row>
    <row r="177" spans="1:16" s="48" customFormat="1">
      <c r="A177" s="103"/>
      <c r="B177" s="103"/>
      <c r="C177" s="103"/>
      <c r="D177" s="103"/>
      <c r="E177" s="103"/>
      <c r="F177" s="142"/>
      <c r="G177" s="143"/>
      <c r="H177" s="143"/>
      <c r="I177" s="143"/>
      <c r="J177" s="143"/>
      <c r="K177" s="143"/>
      <c r="L177" s="143"/>
      <c r="M177" s="144"/>
      <c r="N177" s="103"/>
      <c r="O177" s="103"/>
      <c r="P177" s="85"/>
    </row>
    <row r="178" spans="1:16" s="48" customFormat="1">
      <c r="A178" s="104" t="s">
        <v>217</v>
      </c>
      <c r="B178" s="105"/>
      <c r="C178" s="105"/>
      <c r="D178" s="105"/>
      <c r="E178" s="139"/>
      <c r="F178" s="140"/>
      <c r="G178" s="106"/>
      <c r="H178" s="106"/>
      <c r="I178" s="106"/>
      <c r="J178" s="106"/>
      <c r="K178" s="106"/>
      <c r="L178" s="106"/>
      <c r="M178" s="107"/>
      <c r="N178" s="105"/>
      <c r="O178" s="105"/>
      <c r="P178" s="85"/>
    </row>
    <row r="179" spans="1:16" s="48" customFormat="1">
      <c r="A179" s="96" t="s">
        <v>218</v>
      </c>
      <c r="B179" s="99" t="s">
        <v>668</v>
      </c>
      <c r="C179" s="99" t="s">
        <v>220</v>
      </c>
      <c r="D179" s="99" t="s">
        <v>89</v>
      </c>
      <c r="E179" s="96" t="s">
        <v>99</v>
      </c>
      <c r="F179" s="101" t="s">
        <v>215</v>
      </c>
      <c r="G179" s="97">
        <v>17100</v>
      </c>
      <c r="H179" s="97">
        <v>15276</v>
      </c>
      <c r="I179" s="97">
        <v>1005.67</v>
      </c>
      <c r="J179" s="97">
        <v>10802.65</v>
      </c>
      <c r="K179" s="97">
        <v>10802.65</v>
      </c>
      <c r="L179" s="97">
        <v>0</v>
      </c>
      <c r="M179" s="98">
        <v>1</v>
      </c>
      <c r="N179" s="99" t="s">
        <v>41</v>
      </c>
      <c r="O179" s="100" t="s">
        <v>204</v>
      </c>
      <c r="P179" s="85">
        <v>1</v>
      </c>
    </row>
    <row r="180" spans="1:16" s="48" customFormat="1">
      <c r="A180" s="96" t="s">
        <v>219</v>
      </c>
      <c r="B180" s="99" t="s">
        <v>669</v>
      </c>
      <c r="C180" s="99" t="s">
        <v>220</v>
      </c>
      <c r="D180" s="99" t="s">
        <v>46</v>
      </c>
      <c r="E180" s="96" t="s">
        <v>99</v>
      </c>
      <c r="F180" s="101" t="s">
        <v>113</v>
      </c>
      <c r="G180" s="97">
        <v>3358</v>
      </c>
      <c r="H180" s="97">
        <v>3050</v>
      </c>
      <c r="I180" s="97">
        <v>0</v>
      </c>
      <c r="J180" s="97">
        <v>3032.68</v>
      </c>
      <c r="K180" s="97">
        <v>1161.6199999999999</v>
      </c>
      <c r="L180" s="97">
        <v>1871.06</v>
      </c>
      <c r="M180" s="98">
        <v>0.38300000000000001</v>
      </c>
      <c r="N180" s="99" t="s">
        <v>41</v>
      </c>
      <c r="O180" s="100" t="s">
        <v>204</v>
      </c>
      <c r="P180" s="85">
        <v>1</v>
      </c>
    </row>
    <row r="181" spans="1:16" s="48" customFormat="1">
      <c r="A181" s="103"/>
      <c r="B181" s="103"/>
      <c r="C181" s="103"/>
      <c r="D181" s="103"/>
      <c r="E181" s="103"/>
      <c r="F181" s="142"/>
      <c r="G181" s="143"/>
      <c r="H181" s="143"/>
      <c r="I181" s="143"/>
      <c r="J181" s="143"/>
      <c r="K181" s="143"/>
      <c r="L181" s="143"/>
      <c r="M181" s="144"/>
      <c r="N181" s="103"/>
      <c r="O181" s="103"/>
      <c r="P181" s="85"/>
    </row>
    <row r="182" spans="1:16" s="48" customFormat="1">
      <c r="A182" s="108" t="s">
        <v>221</v>
      </c>
      <c r="B182" s="108"/>
      <c r="C182" s="108"/>
      <c r="D182" s="108"/>
      <c r="E182" s="145"/>
      <c r="F182" s="140"/>
      <c r="G182" s="106"/>
      <c r="H182" s="106"/>
      <c r="I182" s="106"/>
      <c r="J182" s="106"/>
      <c r="K182" s="106"/>
      <c r="L182" s="106"/>
      <c r="M182" s="107"/>
      <c r="N182" s="108"/>
      <c r="O182" s="108"/>
      <c r="P182" s="85"/>
    </row>
    <row r="183" spans="1:16" s="48" customFormat="1">
      <c r="A183" s="96" t="s">
        <v>222</v>
      </c>
      <c r="B183" s="99" t="s">
        <v>670</v>
      </c>
      <c r="C183" s="99" t="s">
        <v>223</v>
      </c>
      <c r="D183" s="99" t="s">
        <v>89</v>
      </c>
      <c r="E183" s="96" t="s">
        <v>99</v>
      </c>
      <c r="F183" s="101" t="s">
        <v>215</v>
      </c>
      <c r="G183" s="97">
        <v>25800</v>
      </c>
      <c r="H183" s="97">
        <v>23048</v>
      </c>
      <c r="I183" s="97">
        <v>1839.29</v>
      </c>
      <c r="J183" s="97">
        <v>19361.990000000002</v>
      </c>
      <c r="K183" s="97">
        <v>19359.490000000002</v>
      </c>
      <c r="L183" s="97">
        <v>2.5</v>
      </c>
      <c r="M183" s="98">
        <v>1</v>
      </c>
      <c r="N183" s="99" t="s">
        <v>41</v>
      </c>
      <c r="O183" s="100" t="s">
        <v>204</v>
      </c>
      <c r="P183" s="85">
        <v>1</v>
      </c>
    </row>
    <row r="184" spans="1:16" s="48" customFormat="1">
      <c r="A184" s="96" t="s">
        <v>222</v>
      </c>
      <c r="B184" s="99" t="s">
        <v>670</v>
      </c>
      <c r="C184" s="99" t="s">
        <v>223</v>
      </c>
      <c r="D184" s="99" t="s">
        <v>89</v>
      </c>
      <c r="E184" s="96" t="s">
        <v>102</v>
      </c>
      <c r="F184" s="101" t="s">
        <v>215</v>
      </c>
      <c r="G184" s="97">
        <v>7700</v>
      </c>
      <c r="H184" s="97">
        <v>7504</v>
      </c>
      <c r="I184" s="97">
        <v>2731.5</v>
      </c>
      <c r="J184" s="97">
        <v>4783.33</v>
      </c>
      <c r="K184" s="97">
        <v>3266.67</v>
      </c>
      <c r="L184" s="97">
        <v>1516.67</v>
      </c>
      <c r="M184" s="98">
        <v>0.68300000000000005</v>
      </c>
      <c r="N184" s="99" t="s">
        <v>41</v>
      </c>
      <c r="O184" s="100" t="s">
        <v>204</v>
      </c>
      <c r="P184" s="85"/>
    </row>
    <row r="185" spans="1:16" s="48" customFormat="1">
      <c r="A185" s="96" t="s">
        <v>496</v>
      </c>
      <c r="B185" s="99" t="s">
        <v>497</v>
      </c>
      <c r="C185" s="99" t="s">
        <v>223</v>
      </c>
      <c r="D185" s="99" t="s">
        <v>89</v>
      </c>
      <c r="E185" s="96" t="s">
        <v>99</v>
      </c>
      <c r="F185" s="101" t="s">
        <v>500</v>
      </c>
      <c r="G185" s="97">
        <v>88680</v>
      </c>
      <c r="H185" s="97">
        <v>79684</v>
      </c>
      <c r="I185" s="97">
        <v>3456.49</v>
      </c>
      <c r="J185" s="97">
        <v>62892.66</v>
      </c>
      <c r="K185" s="97">
        <v>59166.13</v>
      </c>
      <c r="L185" s="97">
        <v>3726.53</v>
      </c>
      <c r="M185" s="98">
        <v>0.94099999999999995</v>
      </c>
      <c r="N185" s="99" t="s">
        <v>41</v>
      </c>
      <c r="O185" s="96" t="s">
        <v>493</v>
      </c>
      <c r="P185" s="85">
        <v>1</v>
      </c>
    </row>
    <row r="186" spans="1:16" s="48" customFormat="1">
      <c r="A186" s="96" t="s">
        <v>496</v>
      </c>
      <c r="B186" s="99" t="s">
        <v>497</v>
      </c>
      <c r="C186" s="99" t="s">
        <v>223</v>
      </c>
      <c r="D186" s="99" t="s">
        <v>89</v>
      </c>
      <c r="E186" s="96" t="s">
        <v>102</v>
      </c>
      <c r="F186" s="101" t="s">
        <v>500</v>
      </c>
      <c r="G186" s="97">
        <v>47000</v>
      </c>
      <c r="H186" s="97">
        <v>43099</v>
      </c>
      <c r="I186" s="97">
        <v>539.98</v>
      </c>
      <c r="J186" s="97">
        <v>41648.879999999997</v>
      </c>
      <c r="K186" s="97">
        <v>41648.879999999997</v>
      </c>
      <c r="L186" s="97">
        <v>0</v>
      </c>
      <c r="M186" s="98">
        <v>1</v>
      </c>
      <c r="N186" s="99" t="s">
        <v>41</v>
      </c>
      <c r="O186" s="96" t="s">
        <v>493</v>
      </c>
      <c r="P186" s="85"/>
    </row>
    <row r="187" spans="1:16" s="48" customFormat="1">
      <c r="A187" s="96" t="s">
        <v>498</v>
      </c>
      <c r="B187" s="99" t="s">
        <v>499</v>
      </c>
      <c r="C187" s="99" t="s">
        <v>223</v>
      </c>
      <c r="D187" s="99" t="s">
        <v>470</v>
      </c>
      <c r="E187" s="96" t="s">
        <v>99</v>
      </c>
      <c r="F187" s="101" t="s">
        <v>478</v>
      </c>
      <c r="G187" s="97">
        <v>1200</v>
      </c>
      <c r="H187" s="97">
        <v>1072</v>
      </c>
      <c r="I187" s="97">
        <v>0</v>
      </c>
      <c r="J187" s="97">
        <v>0</v>
      </c>
      <c r="K187" s="97">
        <v>0</v>
      </c>
      <c r="L187" s="97">
        <v>0</v>
      </c>
      <c r="M187" s="98">
        <v>0</v>
      </c>
      <c r="N187" s="99" t="s">
        <v>41</v>
      </c>
      <c r="O187" s="96" t="s">
        <v>493</v>
      </c>
      <c r="P187" s="85">
        <v>1</v>
      </c>
    </row>
    <row r="188" spans="1:16" s="48" customFormat="1">
      <c r="A188" s="96" t="s">
        <v>498</v>
      </c>
      <c r="B188" s="99" t="s">
        <v>499</v>
      </c>
      <c r="C188" s="99" t="s">
        <v>223</v>
      </c>
      <c r="D188" s="99" t="s">
        <v>470</v>
      </c>
      <c r="E188" s="96" t="s">
        <v>102</v>
      </c>
      <c r="F188" s="101" t="s">
        <v>478</v>
      </c>
      <c r="G188" s="97">
        <v>138600</v>
      </c>
      <c r="H188" s="97">
        <v>135072</v>
      </c>
      <c r="I188" s="97">
        <v>38191.29</v>
      </c>
      <c r="J188" s="97">
        <v>96675.83</v>
      </c>
      <c r="K188" s="97">
        <v>29879.5</v>
      </c>
      <c r="L188" s="97">
        <v>66796.33</v>
      </c>
      <c r="M188" s="98">
        <v>0.309</v>
      </c>
      <c r="N188" s="99" t="s">
        <v>41</v>
      </c>
      <c r="O188" s="96" t="s">
        <v>493</v>
      </c>
      <c r="P188" s="85"/>
    </row>
    <row r="189" spans="1:16" s="48" customFormat="1">
      <c r="A189" s="103"/>
      <c r="B189" s="103"/>
      <c r="C189" s="103"/>
      <c r="D189" s="103"/>
      <c r="E189" s="103"/>
      <c r="F189" s="142"/>
      <c r="G189" s="143"/>
      <c r="H189" s="143"/>
      <c r="I189" s="143"/>
      <c r="J189" s="143"/>
      <c r="K189" s="143"/>
      <c r="L189" s="143"/>
      <c r="M189" s="144"/>
      <c r="N189" s="103"/>
      <c r="O189" s="103"/>
      <c r="P189" s="85"/>
    </row>
    <row r="190" spans="1:16" s="48" customFormat="1" ht="12" customHeight="1">
      <c r="A190" s="105" t="s">
        <v>224</v>
      </c>
      <c r="B190" s="105"/>
      <c r="C190" s="105"/>
      <c r="D190" s="105"/>
      <c r="E190" s="139"/>
      <c r="F190" s="140"/>
      <c r="G190" s="106"/>
      <c r="H190" s="106"/>
      <c r="I190" s="106"/>
      <c r="J190" s="106"/>
      <c r="K190" s="106"/>
      <c r="L190" s="106"/>
      <c r="M190" s="107"/>
      <c r="N190" s="105"/>
      <c r="O190" s="105"/>
      <c r="P190" s="85"/>
    </row>
    <row r="191" spans="1:16" s="48" customFormat="1">
      <c r="A191" s="99" t="s">
        <v>392</v>
      </c>
      <c r="B191" s="99" t="s">
        <v>671</v>
      </c>
      <c r="C191" s="99" t="s">
        <v>225</v>
      </c>
      <c r="D191" s="99" t="s">
        <v>214</v>
      </c>
      <c r="E191" s="99" t="s">
        <v>99</v>
      </c>
      <c r="F191" s="101" t="s">
        <v>228</v>
      </c>
      <c r="G191" s="97">
        <v>9900</v>
      </c>
      <c r="H191" s="97">
        <v>8844</v>
      </c>
      <c r="I191" s="97">
        <v>2005.38</v>
      </c>
      <c r="J191" s="97">
        <v>5509</v>
      </c>
      <c r="K191" s="97">
        <v>5509</v>
      </c>
      <c r="L191" s="97">
        <v>0</v>
      </c>
      <c r="M191" s="98">
        <v>1</v>
      </c>
      <c r="N191" s="99" t="s">
        <v>42</v>
      </c>
      <c r="O191" s="100" t="s">
        <v>391</v>
      </c>
      <c r="P191" s="77">
        <v>1</v>
      </c>
    </row>
    <row r="192" spans="1:16" s="48" customFormat="1">
      <c r="A192" s="103"/>
      <c r="B192" s="103"/>
      <c r="C192" s="103"/>
      <c r="D192" s="103"/>
      <c r="E192" s="103"/>
      <c r="F192" s="142"/>
      <c r="G192" s="143"/>
      <c r="H192" s="143"/>
      <c r="I192" s="143"/>
      <c r="J192" s="143"/>
      <c r="K192" s="143"/>
      <c r="L192" s="143"/>
      <c r="M192" s="144"/>
      <c r="N192" s="103"/>
      <c r="O192" s="103"/>
      <c r="P192" s="85"/>
    </row>
    <row r="193" spans="1:16" s="48" customFormat="1">
      <c r="A193" s="104" t="s">
        <v>86</v>
      </c>
      <c r="B193" s="105"/>
      <c r="C193" s="105"/>
      <c r="D193" s="105"/>
      <c r="E193" s="139"/>
      <c r="F193" s="140"/>
      <c r="G193" s="106"/>
      <c r="H193" s="106"/>
      <c r="I193" s="106"/>
      <c r="J193" s="106"/>
      <c r="K193" s="106"/>
      <c r="L193" s="106"/>
      <c r="M193" s="107"/>
      <c r="N193" s="105"/>
      <c r="O193" s="105"/>
      <c r="P193" s="85"/>
    </row>
    <row r="194" spans="1:16" s="48" customFormat="1">
      <c r="A194" s="96" t="s">
        <v>88</v>
      </c>
      <c r="B194" s="99" t="s">
        <v>672</v>
      </c>
      <c r="C194" s="99" t="s">
        <v>87</v>
      </c>
      <c r="D194" s="99" t="s">
        <v>45</v>
      </c>
      <c r="E194" s="96" t="s">
        <v>98</v>
      </c>
      <c r="F194" s="101" t="s">
        <v>850</v>
      </c>
      <c r="G194" s="97">
        <v>51392</v>
      </c>
      <c r="H194" s="97">
        <v>48129.95</v>
      </c>
      <c r="I194" s="97">
        <v>557.73</v>
      </c>
      <c r="J194" s="97">
        <v>47515.96</v>
      </c>
      <c r="K194" s="97">
        <v>2198.84</v>
      </c>
      <c r="L194" s="97">
        <v>45317.120000000003</v>
      </c>
      <c r="M194" s="98">
        <v>4.5999999999999999E-2</v>
      </c>
      <c r="N194" s="99" t="s">
        <v>41</v>
      </c>
      <c r="O194" s="99"/>
      <c r="P194" s="85">
        <v>1</v>
      </c>
    </row>
    <row r="195" spans="1:16" s="48" customFormat="1">
      <c r="A195" s="96" t="s">
        <v>88</v>
      </c>
      <c r="B195" s="99" t="s">
        <v>672</v>
      </c>
      <c r="C195" s="99" t="s">
        <v>87</v>
      </c>
      <c r="D195" s="99" t="s">
        <v>45</v>
      </c>
      <c r="E195" s="96" t="s">
        <v>99</v>
      </c>
      <c r="F195" s="101" t="s">
        <v>850</v>
      </c>
      <c r="G195" s="97">
        <v>33600</v>
      </c>
      <c r="H195" s="97">
        <v>31292.44</v>
      </c>
      <c r="I195" s="97">
        <v>502.82</v>
      </c>
      <c r="J195" s="97">
        <v>30752.959999999999</v>
      </c>
      <c r="K195" s="97">
        <v>12794.67</v>
      </c>
      <c r="L195" s="97">
        <v>17958.29</v>
      </c>
      <c r="M195" s="98">
        <v>0.41599999999999998</v>
      </c>
      <c r="N195" s="99" t="s">
        <v>41</v>
      </c>
      <c r="O195" s="99"/>
      <c r="P195" s="85"/>
    </row>
    <row r="196" spans="1:16" s="48" customFormat="1">
      <c r="A196" s="96" t="s">
        <v>368</v>
      </c>
      <c r="B196" s="99" t="s">
        <v>673</v>
      </c>
      <c r="C196" s="99" t="s">
        <v>87</v>
      </c>
      <c r="D196" s="99" t="s">
        <v>267</v>
      </c>
      <c r="E196" s="96" t="s">
        <v>99</v>
      </c>
      <c r="F196" s="101" t="s">
        <v>852</v>
      </c>
      <c r="G196" s="97">
        <v>100800.01</v>
      </c>
      <c r="H196" s="97">
        <v>91592.91</v>
      </c>
      <c r="I196" s="97">
        <v>1436.02</v>
      </c>
      <c r="J196" s="97">
        <v>89460.86</v>
      </c>
      <c r="K196" s="97">
        <v>67097.33</v>
      </c>
      <c r="L196" s="97">
        <v>22363.53</v>
      </c>
      <c r="M196" s="98">
        <v>0.75</v>
      </c>
      <c r="N196" s="99" t="s">
        <v>41</v>
      </c>
      <c r="O196" s="99" t="s">
        <v>369</v>
      </c>
      <c r="P196" s="77">
        <v>1</v>
      </c>
    </row>
    <row r="197" spans="1:16" s="48" customFormat="1">
      <c r="A197" s="96" t="s">
        <v>442</v>
      </c>
      <c r="B197" s="99" t="s">
        <v>674</v>
      </c>
      <c r="C197" s="99" t="s">
        <v>87</v>
      </c>
      <c r="D197" s="99" t="s">
        <v>267</v>
      </c>
      <c r="E197" s="96" t="s">
        <v>99</v>
      </c>
      <c r="F197" s="101" t="s">
        <v>852</v>
      </c>
      <c r="G197" s="97">
        <v>93600</v>
      </c>
      <c r="H197" s="97">
        <v>85050.559999999998</v>
      </c>
      <c r="I197" s="97">
        <v>1294.7</v>
      </c>
      <c r="J197" s="97">
        <v>83091.75</v>
      </c>
      <c r="K197" s="97">
        <v>65956.13</v>
      </c>
      <c r="L197" s="97">
        <v>17135.62</v>
      </c>
      <c r="M197" s="98">
        <v>0.79400000000000004</v>
      </c>
      <c r="N197" s="99" t="s">
        <v>41</v>
      </c>
      <c r="O197" s="99" t="s">
        <v>439</v>
      </c>
      <c r="P197" s="77"/>
    </row>
    <row r="198" spans="1:16" s="48" customFormat="1">
      <c r="A198" s="96" t="s">
        <v>226</v>
      </c>
      <c r="B198" s="99" t="s">
        <v>675</v>
      </c>
      <c r="C198" s="99" t="s">
        <v>87</v>
      </c>
      <c r="D198" s="99" t="s">
        <v>77</v>
      </c>
      <c r="E198" s="96" t="s">
        <v>101</v>
      </c>
      <c r="F198" s="101" t="s">
        <v>850</v>
      </c>
      <c r="G198" s="97">
        <v>13703.36</v>
      </c>
      <c r="H198" s="97">
        <v>12833.55</v>
      </c>
      <c r="I198" s="97">
        <v>62.79</v>
      </c>
      <c r="J198" s="97">
        <v>12755.78</v>
      </c>
      <c r="K198" s="97">
        <v>12717.24</v>
      </c>
      <c r="L198" s="97">
        <v>38.54</v>
      </c>
      <c r="M198" s="98">
        <v>0.997</v>
      </c>
      <c r="N198" s="99" t="s">
        <v>44</v>
      </c>
      <c r="O198" s="99"/>
      <c r="P198" s="77"/>
    </row>
    <row r="199" spans="1:16" s="48" customFormat="1">
      <c r="A199" s="96" t="s">
        <v>226</v>
      </c>
      <c r="B199" s="99" t="s">
        <v>675</v>
      </c>
      <c r="C199" s="99" t="s">
        <v>87</v>
      </c>
      <c r="D199" s="99" t="s">
        <v>77</v>
      </c>
      <c r="E199" s="96" t="s">
        <v>98</v>
      </c>
      <c r="F199" s="101" t="s">
        <v>850</v>
      </c>
      <c r="G199" s="97">
        <v>11992.64</v>
      </c>
      <c r="H199" s="97">
        <v>11231.42</v>
      </c>
      <c r="I199" s="97">
        <v>54.95</v>
      </c>
      <c r="J199" s="97">
        <v>11163.35</v>
      </c>
      <c r="K199" s="97">
        <v>2618.21</v>
      </c>
      <c r="L199" s="97">
        <v>8545.14</v>
      </c>
      <c r="M199" s="98">
        <v>0.23499999999999999</v>
      </c>
      <c r="N199" s="99" t="s">
        <v>44</v>
      </c>
      <c r="O199" s="99"/>
      <c r="P199" s="85">
        <v>1</v>
      </c>
    </row>
    <row r="200" spans="1:16" s="48" customFormat="1">
      <c r="A200" s="96" t="s">
        <v>226</v>
      </c>
      <c r="B200" s="99" t="s">
        <v>675</v>
      </c>
      <c r="C200" s="99" t="s">
        <v>87</v>
      </c>
      <c r="D200" s="99" t="s">
        <v>77</v>
      </c>
      <c r="E200" s="96" t="s">
        <v>99</v>
      </c>
      <c r="F200" s="101" t="s">
        <v>850</v>
      </c>
      <c r="G200" s="97">
        <v>74400</v>
      </c>
      <c r="H200" s="97">
        <v>69290.399999999994</v>
      </c>
      <c r="I200" s="97">
        <v>895.5</v>
      </c>
      <c r="J200" s="97">
        <v>68313.53</v>
      </c>
      <c r="K200" s="97">
        <v>36842.75</v>
      </c>
      <c r="L200" s="97">
        <v>31470.79</v>
      </c>
      <c r="M200" s="98">
        <v>0.53900000000000003</v>
      </c>
      <c r="N200" s="99" t="s">
        <v>44</v>
      </c>
      <c r="O200" s="99"/>
      <c r="P200" s="85">
        <v>1</v>
      </c>
    </row>
    <row r="201" spans="1:16" s="48" customFormat="1">
      <c r="A201" s="96" t="s">
        <v>501</v>
      </c>
      <c r="B201" s="99" t="s">
        <v>502</v>
      </c>
      <c r="C201" s="99" t="s">
        <v>87</v>
      </c>
      <c r="D201" s="99" t="s">
        <v>267</v>
      </c>
      <c r="E201" s="96" t="s">
        <v>99</v>
      </c>
      <c r="F201" s="101" t="s">
        <v>852</v>
      </c>
      <c r="G201" s="97">
        <v>100800</v>
      </c>
      <c r="H201" s="97">
        <v>91592.91</v>
      </c>
      <c r="I201" s="97">
        <v>1488.36</v>
      </c>
      <c r="J201" s="97">
        <v>89429.01</v>
      </c>
      <c r="K201" s="97">
        <v>33908.480000000003</v>
      </c>
      <c r="L201" s="97">
        <v>55520.52</v>
      </c>
      <c r="M201" s="98">
        <v>0.379</v>
      </c>
      <c r="N201" s="99" t="s">
        <v>44</v>
      </c>
      <c r="O201" s="99" t="s">
        <v>493</v>
      </c>
      <c r="P201" s="77">
        <v>1</v>
      </c>
    </row>
    <row r="202" spans="1:16" s="48" customFormat="1">
      <c r="A202" s="103"/>
      <c r="B202" s="103"/>
      <c r="C202" s="103"/>
      <c r="D202" s="103"/>
      <c r="E202" s="103"/>
      <c r="F202" s="142"/>
      <c r="G202" s="143"/>
      <c r="H202" s="143"/>
      <c r="I202" s="143"/>
      <c r="J202" s="143"/>
      <c r="K202" s="143"/>
      <c r="L202" s="143"/>
      <c r="M202" s="144"/>
      <c r="N202" s="103"/>
      <c r="O202" s="103"/>
      <c r="P202" s="85"/>
    </row>
    <row r="203" spans="1:16" s="48" customFormat="1">
      <c r="A203" s="105" t="s">
        <v>5</v>
      </c>
      <c r="B203" s="105"/>
      <c r="C203" s="105"/>
      <c r="D203" s="105"/>
      <c r="E203" s="139"/>
      <c r="F203" s="140"/>
      <c r="G203" s="106"/>
      <c r="H203" s="106"/>
      <c r="I203" s="106"/>
      <c r="J203" s="106"/>
      <c r="K203" s="106"/>
      <c r="L203" s="106"/>
      <c r="M203" s="107"/>
      <c r="N203" s="105"/>
      <c r="O203" s="105"/>
      <c r="P203" s="85"/>
    </row>
    <row r="204" spans="1:16" s="163" customFormat="1">
      <c r="A204" s="157" t="s">
        <v>104</v>
      </c>
      <c r="B204" s="158" t="s">
        <v>683</v>
      </c>
      <c r="C204" s="158" t="s">
        <v>47</v>
      </c>
      <c r="D204" s="158" t="s">
        <v>45</v>
      </c>
      <c r="E204" s="157"/>
      <c r="F204" s="159" t="s">
        <v>850</v>
      </c>
      <c r="G204" s="160">
        <v>39712</v>
      </c>
      <c r="H204" s="160">
        <v>37191.32</v>
      </c>
      <c r="I204" s="160">
        <v>276.22000000000003</v>
      </c>
      <c r="J204" s="160">
        <v>36871.89</v>
      </c>
      <c r="K204" s="160">
        <v>2974.87</v>
      </c>
      <c r="L204" s="160">
        <v>33897.019999999997</v>
      </c>
      <c r="M204" s="161">
        <v>8.1000000000000003E-2</v>
      </c>
      <c r="N204" s="158" t="s">
        <v>41</v>
      </c>
      <c r="O204" s="158" t="s">
        <v>868</v>
      </c>
      <c r="P204" s="162"/>
    </row>
    <row r="205" spans="1:16" s="163" customFormat="1">
      <c r="A205" s="157" t="s">
        <v>104</v>
      </c>
      <c r="B205" s="158" t="s">
        <v>683</v>
      </c>
      <c r="C205" s="158" t="s">
        <v>47</v>
      </c>
      <c r="D205" s="158" t="s">
        <v>45</v>
      </c>
      <c r="E205" s="157"/>
      <c r="F205" s="159" t="s">
        <v>850</v>
      </c>
      <c r="G205" s="160">
        <v>62400</v>
      </c>
      <c r="H205" s="160">
        <v>58114.53</v>
      </c>
      <c r="I205" s="160">
        <v>934.13</v>
      </c>
      <c r="J205" s="160">
        <v>57112.34</v>
      </c>
      <c r="K205" s="160">
        <v>3198.93</v>
      </c>
      <c r="L205" s="160">
        <v>53913.41</v>
      </c>
      <c r="M205" s="161">
        <v>5.6000000000000001E-2</v>
      </c>
      <c r="N205" s="158" t="s">
        <v>41</v>
      </c>
      <c r="O205" s="158" t="s">
        <v>868</v>
      </c>
      <c r="P205" s="164"/>
    </row>
    <row r="206" spans="1:16" s="48" customFormat="1">
      <c r="A206" s="96" t="s">
        <v>280</v>
      </c>
      <c r="B206" s="99" t="s">
        <v>676</v>
      </c>
      <c r="C206" s="99" t="s">
        <v>47</v>
      </c>
      <c r="D206" s="99" t="s">
        <v>267</v>
      </c>
      <c r="E206" s="96" t="s">
        <v>99</v>
      </c>
      <c r="F206" s="101" t="s">
        <v>852</v>
      </c>
      <c r="G206" s="97">
        <v>38400</v>
      </c>
      <c r="H206" s="97">
        <v>34892.54</v>
      </c>
      <c r="I206" s="97">
        <v>813.71</v>
      </c>
      <c r="J206" s="97">
        <v>33557.129999999997</v>
      </c>
      <c r="K206" s="97">
        <v>20937.05</v>
      </c>
      <c r="L206" s="97">
        <v>12620.09</v>
      </c>
      <c r="M206" s="98">
        <v>0.624</v>
      </c>
      <c r="N206" s="99" t="s">
        <v>41</v>
      </c>
      <c r="O206" s="99" t="s">
        <v>279</v>
      </c>
      <c r="P206" s="77">
        <v>1</v>
      </c>
    </row>
    <row r="207" spans="1:16" s="48" customFormat="1">
      <c r="A207" s="96" t="s">
        <v>281</v>
      </c>
      <c r="B207" s="99" t="s">
        <v>677</v>
      </c>
      <c r="C207" s="99" t="s">
        <v>47</v>
      </c>
      <c r="D207" s="99" t="s">
        <v>267</v>
      </c>
      <c r="E207" s="96" t="s">
        <v>99</v>
      </c>
      <c r="F207" s="101" t="s">
        <v>852</v>
      </c>
      <c r="G207" s="97">
        <v>230400</v>
      </c>
      <c r="H207" s="97">
        <v>209355.22</v>
      </c>
      <c r="I207" s="97">
        <v>3429.7</v>
      </c>
      <c r="J207" s="97">
        <v>204402.12</v>
      </c>
      <c r="K207" s="97">
        <v>157585.18</v>
      </c>
      <c r="L207" s="97">
        <v>46816.94</v>
      </c>
      <c r="M207" s="98">
        <v>0.77100000000000002</v>
      </c>
      <c r="N207" s="99" t="s">
        <v>41</v>
      </c>
      <c r="O207" s="99" t="s">
        <v>279</v>
      </c>
      <c r="P207" s="77">
        <v>1</v>
      </c>
    </row>
    <row r="208" spans="1:16" s="48" customFormat="1">
      <c r="A208" s="96" t="s">
        <v>282</v>
      </c>
      <c r="B208" s="99" t="s">
        <v>678</v>
      </c>
      <c r="C208" s="99" t="s">
        <v>47</v>
      </c>
      <c r="D208" s="99" t="s">
        <v>267</v>
      </c>
      <c r="E208" s="96" t="s">
        <v>99</v>
      </c>
      <c r="F208" s="101" t="s">
        <v>852</v>
      </c>
      <c r="G208" s="97">
        <v>86400</v>
      </c>
      <c r="H208" s="97">
        <v>78508.22</v>
      </c>
      <c r="I208" s="97">
        <v>951.04</v>
      </c>
      <c r="J208" s="97">
        <v>76366.58</v>
      </c>
      <c r="K208" s="97">
        <v>55938.26</v>
      </c>
      <c r="L208" s="97">
        <v>20428.32</v>
      </c>
      <c r="M208" s="98">
        <v>0.73199999999999998</v>
      </c>
      <c r="N208" s="99" t="s">
        <v>44</v>
      </c>
      <c r="O208" s="99" t="s">
        <v>279</v>
      </c>
      <c r="P208" s="77">
        <v>1</v>
      </c>
    </row>
    <row r="209" spans="1:16" s="48" customFormat="1">
      <c r="A209" s="96" t="s">
        <v>351</v>
      </c>
      <c r="B209" s="99" t="s">
        <v>679</v>
      </c>
      <c r="C209" s="99" t="s">
        <v>47</v>
      </c>
      <c r="D209" s="99" t="s">
        <v>267</v>
      </c>
      <c r="E209" s="96" t="s">
        <v>99</v>
      </c>
      <c r="F209" s="101" t="s">
        <v>852</v>
      </c>
      <c r="G209" s="97">
        <v>124800</v>
      </c>
      <c r="H209" s="97">
        <v>113400.75</v>
      </c>
      <c r="I209" s="97">
        <v>1766.07</v>
      </c>
      <c r="J209" s="97">
        <v>109922.4</v>
      </c>
      <c r="K209" s="97">
        <v>80869.34</v>
      </c>
      <c r="L209" s="97">
        <v>29053.06</v>
      </c>
      <c r="M209" s="98">
        <v>0.73599999999999999</v>
      </c>
      <c r="N209" s="99" t="s">
        <v>41</v>
      </c>
      <c r="O209" s="99" t="s">
        <v>312</v>
      </c>
      <c r="P209" s="77">
        <v>1</v>
      </c>
    </row>
    <row r="210" spans="1:16" s="48" customFormat="1">
      <c r="A210" s="96" t="s">
        <v>420</v>
      </c>
      <c r="B210" s="99" t="s">
        <v>680</v>
      </c>
      <c r="C210" s="99" t="s">
        <v>47</v>
      </c>
      <c r="D210" s="99" t="s">
        <v>267</v>
      </c>
      <c r="E210" s="96" t="s">
        <v>99</v>
      </c>
      <c r="F210" s="101" t="s">
        <v>852</v>
      </c>
      <c r="G210" s="97">
        <v>72000</v>
      </c>
      <c r="H210" s="97">
        <v>65423.51</v>
      </c>
      <c r="I210" s="97">
        <v>1801.12</v>
      </c>
      <c r="J210" s="97">
        <v>63509.79</v>
      </c>
      <c r="K210" s="97">
        <v>45520.53</v>
      </c>
      <c r="L210" s="97">
        <v>17989.25</v>
      </c>
      <c r="M210" s="98">
        <v>0.71699999999999997</v>
      </c>
      <c r="N210" s="99" t="s">
        <v>41</v>
      </c>
      <c r="O210" s="99" t="s">
        <v>419</v>
      </c>
      <c r="P210" s="77">
        <v>1</v>
      </c>
    </row>
    <row r="211" spans="1:16" s="48" customFormat="1">
      <c r="A211" s="96" t="s">
        <v>440</v>
      </c>
      <c r="B211" s="99" t="s">
        <v>681</v>
      </c>
      <c r="C211" s="99" t="s">
        <v>47</v>
      </c>
      <c r="D211" s="99" t="s">
        <v>267</v>
      </c>
      <c r="E211" s="96" t="s">
        <v>99</v>
      </c>
      <c r="F211" s="101" t="s">
        <v>852</v>
      </c>
      <c r="G211" s="97">
        <v>145600</v>
      </c>
      <c r="H211" s="97">
        <v>130695.64</v>
      </c>
      <c r="I211" s="97">
        <v>703.71</v>
      </c>
      <c r="J211" s="97">
        <v>127997.28</v>
      </c>
      <c r="K211" s="97">
        <v>69750.28</v>
      </c>
      <c r="L211" s="97">
        <v>58247</v>
      </c>
      <c r="M211" s="98">
        <v>0.54500000000000004</v>
      </c>
      <c r="N211" s="99" t="s">
        <v>41</v>
      </c>
      <c r="O211" s="99" t="s">
        <v>439</v>
      </c>
      <c r="P211" s="77">
        <v>1</v>
      </c>
    </row>
    <row r="212" spans="1:16" s="48" customFormat="1">
      <c r="A212" s="96" t="s">
        <v>552</v>
      </c>
      <c r="B212" s="99" t="s">
        <v>553</v>
      </c>
      <c r="C212" s="99" t="s">
        <v>47</v>
      </c>
      <c r="D212" s="99" t="s">
        <v>267</v>
      </c>
      <c r="E212" s="96" t="s">
        <v>99</v>
      </c>
      <c r="F212" s="101" t="s">
        <v>852</v>
      </c>
      <c r="G212" s="97">
        <v>278400</v>
      </c>
      <c r="H212" s="97">
        <v>250781.75</v>
      </c>
      <c r="I212" s="97">
        <v>306.39999999999998</v>
      </c>
      <c r="J212" s="97">
        <v>248617.7</v>
      </c>
      <c r="K212" s="97">
        <v>15768.01</v>
      </c>
      <c r="L212" s="97">
        <v>232849.69</v>
      </c>
      <c r="M212" s="98">
        <v>6.3E-2</v>
      </c>
      <c r="N212" s="99" t="s">
        <v>41</v>
      </c>
      <c r="O212" s="99" t="s">
        <v>547</v>
      </c>
      <c r="P212" s="77">
        <v>1</v>
      </c>
    </row>
    <row r="213" spans="1:16" s="48" customFormat="1">
      <c r="A213" s="96" t="s">
        <v>834</v>
      </c>
      <c r="B213" s="96" t="s">
        <v>835</v>
      </c>
      <c r="C213" s="96" t="s">
        <v>47</v>
      </c>
      <c r="D213" s="99" t="s">
        <v>806</v>
      </c>
      <c r="E213" s="96" t="s">
        <v>99</v>
      </c>
      <c r="F213" s="101" t="s">
        <v>854</v>
      </c>
      <c r="G213" s="97">
        <v>402688</v>
      </c>
      <c r="H213" s="97">
        <v>365237.8</v>
      </c>
      <c r="I213" s="97">
        <v>213.14</v>
      </c>
      <c r="J213" s="97">
        <v>362067.20000000001</v>
      </c>
      <c r="K213" s="97">
        <v>76531.649999999994</v>
      </c>
      <c r="L213" s="97">
        <v>285535.53999999998</v>
      </c>
      <c r="M213" s="98">
        <v>0.21099999999999999</v>
      </c>
      <c r="N213" s="99" t="s">
        <v>41</v>
      </c>
      <c r="O213" s="99" t="s">
        <v>823</v>
      </c>
      <c r="P213" s="77">
        <v>1</v>
      </c>
    </row>
    <row r="214" spans="1:16" s="48" customFormat="1">
      <c r="A214" s="96" t="s">
        <v>836</v>
      </c>
      <c r="B214" s="96" t="s">
        <v>837</v>
      </c>
      <c r="C214" s="96" t="s">
        <v>47</v>
      </c>
      <c r="D214" s="99" t="s">
        <v>806</v>
      </c>
      <c r="E214" s="96" t="s">
        <v>99</v>
      </c>
      <c r="F214" s="101" t="s">
        <v>854</v>
      </c>
      <c r="G214" s="97">
        <v>431232</v>
      </c>
      <c r="H214" s="97">
        <v>384258.46</v>
      </c>
      <c r="I214" s="97">
        <v>218.16</v>
      </c>
      <c r="J214" s="97">
        <v>383742.64</v>
      </c>
      <c r="K214" s="97">
        <v>4442.42</v>
      </c>
      <c r="L214" s="97">
        <v>379300.21</v>
      </c>
      <c r="M214" s="98">
        <v>1.2E-2</v>
      </c>
      <c r="N214" s="99" t="s">
        <v>41</v>
      </c>
      <c r="O214" s="99" t="s">
        <v>823</v>
      </c>
      <c r="P214" s="77">
        <v>1</v>
      </c>
    </row>
    <row r="215" spans="1:16" s="48" customFormat="1">
      <c r="A215" s="96" t="s">
        <v>363</v>
      </c>
      <c r="B215" s="99" t="s">
        <v>682</v>
      </c>
      <c r="C215" s="99" t="s">
        <v>47</v>
      </c>
      <c r="D215" s="99" t="s">
        <v>267</v>
      </c>
      <c r="E215" s="96" t="s">
        <v>99</v>
      </c>
      <c r="F215" s="101" t="s">
        <v>852</v>
      </c>
      <c r="G215" s="97">
        <v>62400</v>
      </c>
      <c r="H215" s="97">
        <v>56700.38</v>
      </c>
      <c r="I215" s="97">
        <v>690.02</v>
      </c>
      <c r="J215" s="97">
        <v>55154.22</v>
      </c>
      <c r="K215" s="97">
        <v>29700.37</v>
      </c>
      <c r="L215" s="97">
        <v>25453.85</v>
      </c>
      <c r="M215" s="98">
        <v>0.53800000000000003</v>
      </c>
      <c r="N215" s="99" t="s">
        <v>44</v>
      </c>
      <c r="O215" s="99"/>
      <c r="P215" s="77">
        <v>1</v>
      </c>
    </row>
    <row r="216" spans="1:16" s="48" customFormat="1">
      <c r="A216" s="96" t="s">
        <v>170</v>
      </c>
      <c r="B216" s="99" t="s">
        <v>684</v>
      </c>
      <c r="C216" s="99" t="s">
        <v>47</v>
      </c>
      <c r="D216" s="99" t="s">
        <v>77</v>
      </c>
      <c r="E216" s="96" t="s">
        <v>101</v>
      </c>
      <c r="F216" s="101" t="s">
        <v>850</v>
      </c>
      <c r="G216" s="97">
        <v>52035.97</v>
      </c>
      <c r="H216" s="97">
        <v>48733.04</v>
      </c>
      <c r="I216" s="97">
        <v>504.64</v>
      </c>
      <c r="J216" s="97">
        <v>48171.38</v>
      </c>
      <c r="K216" s="97">
        <v>33797.040000000001</v>
      </c>
      <c r="L216" s="97">
        <v>14374.34</v>
      </c>
      <c r="M216" s="98">
        <v>0.70199999999999996</v>
      </c>
      <c r="N216" s="99" t="s">
        <v>44</v>
      </c>
      <c r="O216" s="99" t="s">
        <v>168</v>
      </c>
      <c r="P216" s="77">
        <v>1</v>
      </c>
    </row>
    <row r="217" spans="1:16" s="48" customFormat="1">
      <c r="A217" s="96" t="s">
        <v>170</v>
      </c>
      <c r="B217" s="99" t="s">
        <v>684</v>
      </c>
      <c r="C217" s="99" t="s">
        <v>47</v>
      </c>
      <c r="D217" s="99" t="s">
        <v>77</v>
      </c>
      <c r="E217" s="96" t="s">
        <v>99</v>
      </c>
      <c r="F217" s="101" t="s">
        <v>850</v>
      </c>
      <c r="G217" s="97">
        <v>22124.03</v>
      </c>
      <c r="H217" s="97">
        <v>20607.34</v>
      </c>
      <c r="I217" s="97">
        <v>202.94</v>
      </c>
      <c r="J217" s="97">
        <v>20377.150000000001</v>
      </c>
      <c r="K217" s="97">
        <v>12688.68</v>
      </c>
      <c r="L217" s="97">
        <v>7688.47</v>
      </c>
      <c r="M217" s="98">
        <v>0.623</v>
      </c>
      <c r="N217" s="99" t="s">
        <v>44</v>
      </c>
      <c r="O217" s="99" t="s">
        <v>168</v>
      </c>
      <c r="P217" s="85"/>
    </row>
    <row r="218" spans="1:16" s="48" customFormat="1">
      <c r="A218" s="96" t="s">
        <v>169</v>
      </c>
      <c r="B218" s="99" t="s">
        <v>685</v>
      </c>
      <c r="C218" s="99" t="s">
        <v>47</v>
      </c>
      <c r="D218" s="99" t="s">
        <v>77</v>
      </c>
      <c r="E218" s="96" t="s">
        <v>98</v>
      </c>
      <c r="F218" s="101" t="s">
        <v>850</v>
      </c>
      <c r="G218" s="97">
        <v>70080</v>
      </c>
      <c r="H218" s="97">
        <v>65631.75</v>
      </c>
      <c r="I218" s="97">
        <v>691.37</v>
      </c>
      <c r="J218" s="97">
        <v>64863.82</v>
      </c>
      <c r="K218" s="97">
        <v>50045.25</v>
      </c>
      <c r="L218" s="97">
        <v>14818.57</v>
      </c>
      <c r="M218" s="98">
        <v>0.77200000000000002</v>
      </c>
      <c r="N218" s="99" t="s">
        <v>41</v>
      </c>
      <c r="O218" s="99" t="s">
        <v>168</v>
      </c>
      <c r="P218" s="77">
        <v>1</v>
      </c>
    </row>
    <row r="219" spans="1:16" s="48" customFormat="1">
      <c r="A219" s="96" t="s">
        <v>169</v>
      </c>
      <c r="B219" s="99" t="s">
        <v>685</v>
      </c>
      <c r="C219" s="99" t="s">
        <v>47</v>
      </c>
      <c r="D219" s="99" t="s">
        <v>77</v>
      </c>
      <c r="E219" s="96" t="s">
        <v>99</v>
      </c>
      <c r="F219" s="101" t="s">
        <v>850</v>
      </c>
      <c r="G219" s="97">
        <v>50400</v>
      </c>
      <c r="H219" s="97">
        <v>46938.66</v>
      </c>
      <c r="I219" s="97">
        <v>793</v>
      </c>
      <c r="J219" s="97">
        <v>46090.73</v>
      </c>
      <c r="K219" s="97">
        <v>42198.48</v>
      </c>
      <c r="L219" s="97">
        <v>3892.25</v>
      </c>
      <c r="M219" s="98">
        <v>0.91600000000000004</v>
      </c>
      <c r="N219" s="99" t="s">
        <v>41</v>
      </c>
      <c r="O219" s="99" t="s">
        <v>168</v>
      </c>
      <c r="P219" s="85"/>
    </row>
    <row r="220" spans="1:16" s="48" customFormat="1">
      <c r="A220" s="96" t="s">
        <v>199</v>
      </c>
      <c r="B220" s="99" t="s">
        <v>686</v>
      </c>
      <c r="C220" s="99" t="s">
        <v>47</v>
      </c>
      <c r="D220" s="99" t="s">
        <v>77</v>
      </c>
      <c r="E220" s="96" t="s">
        <v>101</v>
      </c>
      <c r="F220" s="101" t="s">
        <v>850</v>
      </c>
      <c r="G220" s="97">
        <v>44659.29</v>
      </c>
      <c r="H220" s="97">
        <v>41824.589999999997</v>
      </c>
      <c r="I220" s="97">
        <v>346.35</v>
      </c>
      <c r="J220" s="97">
        <v>41429.230000000003</v>
      </c>
      <c r="K220" s="97">
        <v>32024.33</v>
      </c>
      <c r="L220" s="97">
        <v>9404.9</v>
      </c>
      <c r="M220" s="98">
        <v>0.77300000000000002</v>
      </c>
      <c r="N220" s="99" t="s">
        <v>44</v>
      </c>
      <c r="O220" s="99" t="s">
        <v>198</v>
      </c>
      <c r="P220" s="77">
        <v>1</v>
      </c>
    </row>
    <row r="221" spans="1:16" s="48" customFormat="1">
      <c r="A221" s="96" t="s">
        <v>199</v>
      </c>
      <c r="B221" s="99" t="s">
        <v>686</v>
      </c>
      <c r="C221" s="99" t="s">
        <v>47</v>
      </c>
      <c r="D221" s="99" t="s">
        <v>77</v>
      </c>
      <c r="E221" s="96" t="s">
        <v>98</v>
      </c>
      <c r="F221" s="101" t="s">
        <v>850</v>
      </c>
      <c r="G221" s="97">
        <v>3228.71</v>
      </c>
      <c r="H221" s="97">
        <v>3023.77</v>
      </c>
      <c r="I221" s="97">
        <v>25.04</v>
      </c>
      <c r="J221" s="97">
        <v>2995.19</v>
      </c>
      <c r="K221" s="97">
        <v>2810.86</v>
      </c>
      <c r="L221" s="97">
        <v>184.33</v>
      </c>
      <c r="M221" s="98">
        <v>0.93799999999999994</v>
      </c>
      <c r="N221" s="99" t="s">
        <v>44</v>
      </c>
      <c r="O221" s="99" t="s">
        <v>198</v>
      </c>
      <c r="P221" s="85"/>
    </row>
    <row r="222" spans="1:16" s="48" customFormat="1">
      <c r="A222" s="96" t="s">
        <v>199</v>
      </c>
      <c r="B222" s="99" t="s">
        <v>686</v>
      </c>
      <c r="C222" s="99" t="s">
        <v>47</v>
      </c>
      <c r="D222" s="99" t="s">
        <v>77</v>
      </c>
      <c r="E222" s="96" t="s">
        <v>99</v>
      </c>
      <c r="F222" s="101" t="s">
        <v>850</v>
      </c>
      <c r="G222" s="97">
        <v>19200</v>
      </c>
      <c r="H222" s="97">
        <v>17881.39</v>
      </c>
      <c r="I222" s="97">
        <v>172.25</v>
      </c>
      <c r="J222" s="97">
        <v>17688.07</v>
      </c>
      <c r="K222" s="97">
        <v>15572.11</v>
      </c>
      <c r="L222" s="97">
        <v>2115.96</v>
      </c>
      <c r="M222" s="98">
        <v>0.88</v>
      </c>
      <c r="N222" s="99" t="s">
        <v>44</v>
      </c>
      <c r="O222" s="99" t="s">
        <v>198</v>
      </c>
      <c r="P222" s="85"/>
    </row>
    <row r="223" spans="1:16" s="48" customFormat="1">
      <c r="A223" s="96" t="s">
        <v>184</v>
      </c>
      <c r="B223" s="99" t="s">
        <v>687</v>
      </c>
      <c r="C223" s="99" t="s">
        <v>47</v>
      </c>
      <c r="D223" s="99" t="s">
        <v>77</v>
      </c>
      <c r="E223" s="96" t="s">
        <v>98</v>
      </c>
      <c r="F223" s="101" t="s">
        <v>850</v>
      </c>
      <c r="G223" s="97">
        <v>42048</v>
      </c>
      <c r="H223" s="97">
        <v>39379.050000000003</v>
      </c>
      <c r="I223" s="97">
        <v>388.6</v>
      </c>
      <c r="J223" s="97">
        <v>38944.78</v>
      </c>
      <c r="K223" s="97">
        <v>26952.31</v>
      </c>
      <c r="L223" s="97">
        <v>11992.47</v>
      </c>
      <c r="M223" s="98">
        <v>0.69199999999999995</v>
      </c>
      <c r="N223" s="99" t="s">
        <v>41</v>
      </c>
      <c r="O223" s="99" t="s">
        <v>185</v>
      </c>
      <c r="P223" s="77">
        <v>1</v>
      </c>
    </row>
    <row r="224" spans="1:16" s="48" customFormat="1">
      <c r="A224" s="96" t="s">
        <v>184</v>
      </c>
      <c r="B224" s="99" t="s">
        <v>687</v>
      </c>
      <c r="C224" s="99" t="s">
        <v>47</v>
      </c>
      <c r="D224" s="99" t="s">
        <v>77</v>
      </c>
      <c r="E224" s="96" t="s">
        <v>99</v>
      </c>
      <c r="F224" s="101" t="s">
        <v>850</v>
      </c>
      <c r="G224" s="97">
        <v>19200</v>
      </c>
      <c r="H224" s="97">
        <v>17881.39</v>
      </c>
      <c r="I224" s="97">
        <v>287.17</v>
      </c>
      <c r="J224" s="97">
        <v>17573.27</v>
      </c>
      <c r="K224" s="97">
        <v>14528.84</v>
      </c>
      <c r="L224" s="97">
        <v>3044.43</v>
      </c>
      <c r="M224" s="98">
        <v>0.82699999999999996</v>
      </c>
      <c r="N224" s="99" t="s">
        <v>41</v>
      </c>
      <c r="O224" s="99" t="s">
        <v>185</v>
      </c>
      <c r="P224" s="85"/>
    </row>
    <row r="225" spans="1:16" s="48" customFormat="1">
      <c r="A225" s="99" t="s">
        <v>400</v>
      </c>
      <c r="B225" s="99" t="s">
        <v>688</v>
      </c>
      <c r="C225" s="99" t="s">
        <v>47</v>
      </c>
      <c r="D225" s="99" t="s">
        <v>387</v>
      </c>
      <c r="E225" s="96" t="s">
        <v>99</v>
      </c>
      <c r="F225" s="101" t="s">
        <v>858</v>
      </c>
      <c r="G225" s="97">
        <v>103200</v>
      </c>
      <c r="H225" s="97">
        <v>92331.03</v>
      </c>
      <c r="I225" s="97">
        <v>0</v>
      </c>
      <c r="J225" s="97">
        <v>92330.65</v>
      </c>
      <c r="K225" s="97">
        <v>73233.33</v>
      </c>
      <c r="L225" s="97">
        <v>19097.32</v>
      </c>
      <c r="M225" s="98">
        <v>0.79300000000000004</v>
      </c>
      <c r="N225" s="99" t="s">
        <v>41</v>
      </c>
      <c r="O225" s="99" t="s">
        <v>402</v>
      </c>
      <c r="P225" s="77">
        <v>1</v>
      </c>
    </row>
    <row r="226" spans="1:16" s="48" customFormat="1">
      <c r="A226" s="99" t="s">
        <v>401</v>
      </c>
      <c r="B226" s="99" t="s">
        <v>689</v>
      </c>
      <c r="C226" s="99" t="s">
        <v>47</v>
      </c>
      <c r="D226" s="99" t="s">
        <v>387</v>
      </c>
      <c r="E226" s="96" t="s">
        <v>99</v>
      </c>
      <c r="F226" s="101" t="s">
        <v>858</v>
      </c>
      <c r="G226" s="97">
        <v>103200</v>
      </c>
      <c r="H226" s="97">
        <v>92331.03</v>
      </c>
      <c r="I226" s="97">
        <v>0</v>
      </c>
      <c r="J226" s="97">
        <v>92330.65</v>
      </c>
      <c r="K226" s="97">
        <v>56290.89</v>
      </c>
      <c r="L226" s="97">
        <v>36039.75</v>
      </c>
      <c r="M226" s="98">
        <v>0.61</v>
      </c>
      <c r="N226" s="99" t="s">
        <v>41</v>
      </c>
      <c r="O226" s="99" t="s">
        <v>402</v>
      </c>
      <c r="P226" s="77">
        <v>1</v>
      </c>
    </row>
    <row r="227" spans="1:16" s="48" customFormat="1">
      <c r="A227" s="96" t="s">
        <v>149</v>
      </c>
      <c r="B227" s="99" t="s">
        <v>690</v>
      </c>
      <c r="C227" s="99" t="s">
        <v>47</v>
      </c>
      <c r="D227" s="99" t="s">
        <v>107</v>
      </c>
      <c r="E227" s="96" t="s">
        <v>99</v>
      </c>
      <c r="F227" s="101" t="s">
        <v>454</v>
      </c>
      <c r="G227" s="97">
        <v>9440</v>
      </c>
      <c r="H227" s="97">
        <v>8536</v>
      </c>
      <c r="I227" s="97">
        <v>814.52</v>
      </c>
      <c r="J227" s="97">
        <v>7204</v>
      </c>
      <c r="K227" s="97">
        <v>7204</v>
      </c>
      <c r="L227" s="97">
        <v>0</v>
      </c>
      <c r="M227" s="98">
        <v>1</v>
      </c>
      <c r="N227" s="99" t="s">
        <v>41</v>
      </c>
      <c r="O227" s="99" t="s">
        <v>126</v>
      </c>
      <c r="P227" s="77">
        <v>1</v>
      </c>
    </row>
    <row r="228" spans="1:16" s="48" customFormat="1">
      <c r="A228" s="96" t="s">
        <v>150</v>
      </c>
      <c r="B228" s="99" t="s">
        <v>691</v>
      </c>
      <c r="C228" s="99" t="s">
        <v>47</v>
      </c>
      <c r="D228" s="99" t="s">
        <v>107</v>
      </c>
      <c r="E228" s="96" t="s">
        <v>99</v>
      </c>
      <c r="F228" s="101" t="s">
        <v>454</v>
      </c>
      <c r="G228" s="97">
        <v>9440</v>
      </c>
      <c r="H228" s="97">
        <v>8536</v>
      </c>
      <c r="I228" s="97">
        <v>814.52</v>
      </c>
      <c r="J228" s="97">
        <v>7204</v>
      </c>
      <c r="K228" s="97">
        <v>7204</v>
      </c>
      <c r="L228" s="97">
        <v>0</v>
      </c>
      <c r="M228" s="98">
        <v>1</v>
      </c>
      <c r="N228" s="99" t="s">
        <v>41</v>
      </c>
      <c r="O228" s="99" t="s">
        <v>126</v>
      </c>
      <c r="P228" s="77">
        <v>1</v>
      </c>
    </row>
    <row r="229" spans="1:16" s="48" customFormat="1">
      <c r="A229" s="96" t="s">
        <v>151</v>
      </c>
      <c r="B229" s="99" t="s">
        <v>692</v>
      </c>
      <c r="C229" s="99" t="s">
        <v>47</v>
      </c>
      <c r="D229" s="99" t="s">
        <v>107</v>
      </c>
      <c r="E229" s="96" t="s">
        <v>99</v>
      </c>
      <c r="F229" s="101" t="s">
        <v>390</v>
      </c>
      <c r="G229" s="97">
        <v>5256</v>
      </c>
      <c r="H229" s="97">
        <v>4788</v>
      </c>
      <c r="I229" s="97">
        <v>11.9</v>
      </c>
      <c r="J229" s="97">
        <v>4721.0200000000004</v>
      </c>
      <c r="K229" s="97">
        <v>4721.0200000000004</v>
      </c>
      <c r="L229" s="97">
        <v>0</v>
      </c>
      <c r="M229" s="98">
        <v>1</v>
      </c>
      <c r="N229" s="99" t="s">
        <v>41</v>
      </c>
      <c r="O229" s="99" t="s">
        <v>126</v>
      </c>
      <c r="P229" s="77">
        <v>1</v>
      </c>
    </row>
    <row r="230" spans="1:16" s="48" customFormat="1">
      <c r="A230" s="96" t="s">
        <v>152</v>
      </c>
      <c r="B230" s="99" t="s">
        <v>693</v>
      </c>
      <c r="C230" s="99" t="s">
        <v>47</v>
      </c>
      <c r="D230" s="99" t="s">
        <v>107</v>
      </c>
      <c r="E230" s="96" t="s">
        <v>99</v>
      </c>
      <c r="F230" s="101" t="s">
        <v>390</v>
      </c>
      <c r="G230" s="97">
        <v>5402</v>
      </c>
      <c r="H230" s="97">
        <v>4921</v>
      </c>
      <c r="I230" s="97">
        <v>11.9</v>
      </c>
      <c r="J230" s="97">
        <v>4837.2700000000004</v>
      </c>
      <c r="K230" s="97">
        <v>4837.2700000000004</v>
      </c>
      <c r="L230" s="97">
        <v>0</v>
      </c>
      <c r="M230" s="98">
        <v>1</v>
      </c>
      <c r="N230" s="99" t="s">
        <v>41</v>
      </c>
      <c r="O230" s="99" t="s">
        <v>126</v>
      </c>
      <c r="P230" s="77">
        <v>1</v>
      </c>
    </row>
    <row r="231" spans="1:16" s="48" customFormat="1">
      <c r="A231" s="96" t="s">
        <v>153</v>
      </c>
      <c r="B231" s="99" t="s">
        <v>694</v>
      </c>
      <c r="C231" s="99" t="s">
        <v>47</v>
      </c>
      <c r="D231" s="99" t="s">
        <v>107</v>
      </c>
      <c r="E231" s="96" t="s">
        <v>99</v>
      </c>
      <c r="F231" s="101" t="s">
        <v>454</v>
      </c>
      <c r="G231" s="97">
        <v>9440</v>
      </c>
      <c r="H231" s="97">
        <v>8536</v>
      </c>
      <c r="I231" s="97">
        <v>814.52</v>
      </c>
      <c r="J231" s="97">
        <v>7204</v>
      </c>
      <c r="K231" s="97">
        <v>7204</v>
      </c>
      <c r="L231" s="97">
        <v>0</v>
      </c>
      <c r="M231" s="98">
        <v>1</v>
      </c>
      <c r="N231" s="99" t="s">
        <v>41</v>
      </c>
      <c r="O231" s="99" t="s">
        <v>126</v>
      </c>
      <c r="P231" s="77">
        <v>1</v>
      </c>
    </row>
    <row r="232" spans="1:16" s="48" customFormat="1">
      <c r="A232" s="96" t="s">
        <v>154</v>
      </c>
      <c r="B232" s="99" t="s">
        <v>695</v>
      </c>
      <c r="C232" s="99" t="s">
        <v>47</v>
      </c>
      <c r="D232" s="99" t="s">
        <v>107</v>
      </c>
      <c r="E232" s="96" t="s">
        <v>99</v>
      </c>
      <c r="F232" s="101" t="s">
        <v>454</v>
      </c>
      <c r="G232" s="97">
        <v>9594</v>
      </c>
      <c r="H232" s="97">
        <v>8671</v>
      </c>
      <c r="I232" s="97">
        <v>814.52</v>
      </c>
      <c r="J232" s="97">
        <v>7204</v>
      </c>
      <c r="K232" s="97">
        <v>7204</v>
      </c>
      <c r="L232" s="97">
        <v>0</v>
      </c>
      <c r="M232" s="98">
        <v>1</v>
      </c>
      <c r="N232" s="99" t="s">
        <v>41</v>
      </c>
      <c r="O232" s="99" t="s">
        <v>126</v>
      </c>
      <c r="P232" s="77">
        <v>1</v>
      </c>
    </row>
    <row r="233" spans="1:16" s="48" customFormat="1">
      <c r="A233" s="96" t="s">
        <v>155</v>
      </c>
      <c r="B233" s="99" t="s">
        <v>696</v>
      </c>
      <c r="C233" s="99" t="s">
        <v>47</v>
      </c>
      <c r="D233" s="99" t="s">
        <v>107</v>
      </c>
      <c r="E233" s="96" t="s">
        <v>99</v>
      </c>
      <c r="F233" s="101" t="s">
        <v>454</v>
      </c>
      <c r="G233" s="97">
        <v>9440</v>
      </c>
      <c r="H233" s="97">
        <v>8536</v>
      </c>
      <c r="I233" s="97">
        <v>814.52</v>
      </c>
      <c r="J233" s="97">
        <v>7204</v>
      </c>
      <c r="K233" s="97">
        <v>7204</v>
      </c>
      <c r="L233" s="97">
        <v>0</v>
      </c>
      <c r="M233" s="98">
        <v>1</v>
      </c>
      <c r="N233" s="99" t="s">
        <v>41</v>
      </c>
      <c r="O233" s="99" t="s">
        <v>126</v>
      </c>
      <c r="P233" s="77">
        <v>1</v>
      </c>
    </row>
    <row r="234" spans="1:16" s="48" customFormat="1">
      <c r="A234" s="96" t="s">
        <v>156</v>
      </c>
      <c r="B234" s="99" t="s">
        <v>697</v>
      </c>
      <c r="C234" s="99" t="s">
        <v>47</v>
      </c>
      <c r="D234" s="99" t="s">
        <v>107</v>
      </c>
      <c r="E234" s="96" t="s">
        <v>99</v>
      </c>
      <c r="F234" s="101" t="s">
        <v>454</v>
      </c>
      <c r="G234" s="97">
        <v>9440</v>
      </c>
      <c r="H234" s="97">
        <v>8536</v>
      </c>
      <c r="I234" s="97">
        <v>815.54</v>
      </c>
      <c r="J234" s="97">
        <v>7668</v>
      </c>
      <c r="K234" s="97">
        <v>7668</v>
      </c>
      <c r="L234" s="97">
        <v>0</v>
      </c>
      <c r="M234" s="98">
        <v>1</v>
      </c>
      <c r="N234" s="99" t="s">
        <v>41</v>
      </c>
      <c r="O234" s="99" t="s">
        <v>126</v>
      </c>
      <c r="P234" s="77">
        <v>1</v>
      </c>
    </row>
    <row r="235" spans="1:16" s="48" customFormat="1">
      <c r="A235" s="96" t="s">
        <v>157</v>
      </c>
      <c r="B235" s="99" t="s">
        <v>698</v>
      </c>
      <c r="C235" s="99" t="s">
        <v>47</v>
      </c>
      <c r="D235" s="99" t="s">
        <v>107</v>
      </c>
      <c r="E235" s="96" t="s">
        <v>99</v>
      </c>
      <c r="F235" s="101" t="s">
        <v>454</v>
      </c>
      <c r="G235" s="97">
        <v>9440</v>
      </c>
      <c r="H235" s="97">
        <v>8536</v>
      </c>
      <c r="I235" s="97">
        <v>814.52</v>
      </c>
      <c r="J235" s="97">
        <v>7204</v>
      </c>
      <c r="K235" s="97">
        <v>7204</v>
      </c>
      <c r="L235" s="97">
        <v>0</v>
      </c>
      <c r="M235" s="98">
        <v>1</v>
      </c>
      <c r="N235" s="99" t="s">
        <v>41</v>
      </c>
      <c r="O235" s="99" t="s">
        <v>126</v>
      </c>
      <c r="P235" s="77">
        <v>1</v>
      </c>
    </row>
    <row r="236" spans="1:16" s="48" customFormat="1">
      <c r="A236" s="96" t="s">
        <v>158</v>
      </c>
      <c r="B236" s="99" t="s">
        <v>699</v>
      </c>
      <c r="C236" s="99" t="s">
        <v>47</v>
      </c>
      <c r="D236" s="99" t="s">
        <v>107</v>
      </c>
      <c r="E236" s="96" t="s">
        <v>99</v>
      </c>
      <c r="F236" s="101" t="s">
        <v>454</v>
      </c>
      <c r="G236" s="97">
        <v>9740</v>
      </c>
      <c r="H236" s="97">
        <v>8804</v>
      </c>
      <c r="I236" s="97">
        <v>814.52</v>
      </c>
      <c r="J236" s="97">
        <v>7204</v>
      </c>
      <c r="K236" s="97">
        <v>7204</v>
      </c>
      <c r="L236" s="97">
        <v>0</v>
      </c>
      <c r="M236" s="98">
        <v>1</v>
      </c>
      <c r="N236" s="99" t="s">
        <v>41</v>
      </c>
      <c r="O236" s="99" t="s">
        <v>126</v>
      </c>
      <c r="P236" s="77">
        <v>1</v>
      </c>
    </row>
    <row r="237" spans="1:16" s="48" customFormat="1">
      <c r="A237" s="96" t="s">
        <v>159</v>
      </c>
      <c r="B237" s="99" t="s">
        <v>700</v>
      </c>
      <c r="C237" s="99" t="s">
        <v>47</v>
      </c>
      <c r="D237" s="99" t="s">
        <v>94</v>
      </c>
      <c r="E237" s="96" t="s">
        <v>102</v>
      </c>
      <c r="F237" s="101" t="s">
        <v>123</v>
      </c>
      <c r="G237" s="97">
        <v>144730</v>
      </c>
      <c r="H237" s="97">
        <v>132713</v>
      </c>
      <c r="I237" s="97">
        <v>789.47</v>
      </c>
      <c r="J237" s="97">
        <v>129453.33</v>
      </c>
      <c r="K237" s="97">
        <v>129453.33</v>
      </c>
      <c r="L237" s="97">
        <v>0</v>
      </c>
      <c r="M237" s="98">
        <v>1</v>
      </c>
      <c r="N237" s="99" t="s">
        <v>41</v>
      </c>
      <c r="O237" s="99" t="s">
        <v>126</v>
      </c>
      <c r="P237" s="77">
        <v>1</v>
      </c>
    </row>
    <row r="238" spans="1:16" s="48" customFormat="1">
      <c r="A238" s="96" t="s">
        <v>202</v>
      </c>
      <c r="B238" s="99" t="s">
        <v>701</v>
      </c>
      <c r="C238" s="99" t="s">
        <v>47</v>
      </c>
      <c r="D238" s="99" t="s">
        <v>107</v>
      </c>
      <c r="E238" s="96" t="s">
        <v>102</v>
      </c>
      <c r="F238" s="101" t="s">
        <v>454</v>
      </c>
      <c r="G238" s="97">
        <v>58000</v>
      </c>
      <c r="H238" s="97">
        <v>53186</v>
      </c>
      <c r="I238" s="97">
        <v>341.18</v>
      </c>
      <c r="J238" s="97">
        <v>49170</v>
      </c>
      <c r="K238" s="97">
        <v>33270</v>
      </c>
      <c r="L238" s="97">
        <v>15900</v>
      </c>
      <c r="M238" s="98">
        <v>0.67700000000000005</v>
      </c>
      <c r="N238" s="99" t="s">
        <v>41</v>
      </c>
      <c r="O238" s="99" t="s">
        <v>250</v>
      </c>
      <c r="P238" s="77">
        <v>1</v>
      </c>
    </row>
    <row r="239" spans="1:16" s="48" customFormat="1">
      <c r="A239" s="96" t="s">
        <v>283</v>
      </c>
      <c r="B239" s="99" t="s">
        <v>702</v>
      </c>
      <c r="C239" s="99" t="s">
        <v>47</v>
      </c>
      <c r="D239" s="99" t="s">
        <v>107</v>
      </c>
      <c r="E239" s="96" t="s">
        <v>102</v>
      </c>
      <c r="F239" s="101" t="s">
        <v>454</v>
      </c>
      <c r="G239" s="97">
        <v>58000</v>
      </c>
      <c r="H239" s="97">
        <v>53186</v>
      </c>
      <c r="I239" s="97">
        <v>45161.18</v>
      </c>
      <c r="J239" s="97">
        <v>4350</v>
      </c>
      <c r="K239" s="97">
        <v>0</v>
      </c>
      <c r="L239" s="97">
        <v>4350</v>
      </c>
      <c r="M239" s="98">
        <v>0</v>
      </c>
      <c r="N239" s="99" t="s">
        <v>41</v>
      </c>
      <c r="O239" s="99" t="s">
        <v>279</v>
      </c>
      <c r="P239" s="77">
        <v>1</v>
      </c>
    </row>
    <row r="240" spans="1:16" s="48" customFormat="1">
      <c r="A240" s="96" t="s">
        <v>264</v>
      </c>
      <c r="B240" s="99" t="s">
        <v>703</v>
      </c>
      <c r="C240" s="99" t="s">
        <v>47</v>
      </c>
      <c r="D240" s="99" t="s">
        <v>107</v>
      </c>
      <c r="E240" s="96" t="s">
        <v>102</v>
      </c>
      <c r="F240" s="101" t="s">
        <v>454</v>
      </c>
      <c r="G240" s="97">
        <v>16730</v>
      </c>
      <c r="H240" s="97">
        <v>15337</v>
      </c>
      <c r="I240" s="97">
        <v>83.31</v>
      </c>
      <c r="J240" s="97">
        <v>12760</v>
      </c>
      <c r="K240" s="97">
        <v>12760</v>
      </c>
      <c r="L240" s="97">
        <v>0</v>
      </c>
      <c r="M240" s="98">
        <v>1</v>
      </c>
      <c r="N240" s="99" t="s">
        <v>41</v>
      </c>
      <c r="O240" s="99" t="s">
        <v>250</v>
      </c>
      <c r="P240" s="77">
        <v>1</v>
      </c>
    </row>
    <row r="241" spans="1:16" s="48" customFormat="1">
      <c r="A241" s="96" t="s">
        <v>265</v>
      </c>
      <c r="B241" s="99" t="s">
        <v>704</v>
      </c>
      <c r="C241" s="99" t="s">
        <v>47</v>
      </c>
      <c r="D241" s="99" t="s">
        <v>107</v>
      </c>
      <c r="E241" s="96" t="s">
        <v>99</v>
      </c>
      <c r="F241" s="101" t="s">
        <v>454</v>
      </c>
      <c r="G241" s="97">
        <v>14984</v>
      </c>
      <c r="H241" s="97">
        <v>13396</v>
      </c>
      <c r="I241" s="97">
        <v>5664.57</v>
      </c>
      <c r="J241" s="97">
        <v>7104</v>
      </c>
      <c r="K241" s="97">
        <v>7104</v>
      </c>
      <c r="L241" s="97">
        <v>0</v>
      </c>
      <c r="M241" s="98">
        <v>1</v>
      </c>
      <c r="N241" s="99" t="s">
        <v>41</v>
      </c>
      <c r="O241" s="99" t="s">
        <v>200</v>
      </c>
      <c r="P241" s="77">
        <v>1</v>
      </c>
    </row>
    <row r="242" spans="1:16" s="48" customFormat="1">
      <c r="A242" s="96" t="s">
        <v>352</v>
      </c>
      <c r="B242" s="99" t="s">
        <v>705</v>
      </c>
      <c r="C242" s="99" t="s">
        <v>47</v>
      </c>
      <c r="D242" s="99" t="s">
        <v>107</v>
      </c>
      <c r="E242" s="96" t="s">
        <v>99</v>
      </c>
      <c r="F242" s="101" t="s">
        <v>248</v>
      </c>
      <c r="G242" s="97">
        <v>7784</v>
      </c>
      <c r="H242" s="97">
        <v>6964</v>
      </c>
      <c r="I242" s="97">
        <v>2832.29</v>
      </c>
      <c r="J242" s="97">
        <v>3502</v>
      </c>
      <c r="K242" s="97">
        <v>3502</v>
      </c>
      <c r="L242" s="97">
        <v>0</v>
      </c>
      <c r="M242" s="98">
        <v>1</v>
      </c>
      <c r="N242" s="99" t="s">
        <v>41</v>
      </c>
      <c r="O242" s="99" t="s">
        <v>312</v>
      </c>
      <c r="P242" s="77">
        <v>1</v>
      </c>
    </row>
    <row r="243" spans="1:16" s="48" customFormat="1">
      <c r="A243" s="96" t="s">
        <v>305</v>
      </c>
      <c r="B243" s="99" t="s">
        <v>706</v>
      </c>
      <c r="C243" s="99" t="s">
        <v>47</v>
      </c>
      <c r="D243" s="99" t="s">
        <v>107</v>
      </c>
      <c r="E243" s="96" t="s">
        <v>99</v>
      </c>
      <c r="F243" s="101" t="s">
        <v>454</v>
      </c>
      <c r="G243" s="97">
        <v>6584</v>
      </c>
      <c r="H243" s="97">
        <v>5892</v>
      </c>
      <c r="I243" s="97">
        <v>1921.91</v>
      </c>
      <c r="J243" s="97">
        <v>3300</v>
      </c>
      <c r="K243" s="97">
        <v>3300</v>
      </c>
      <c r="L243" s="97">
        <v>0</v>
      </c>
      <c r="M243" s="98">
        <v>1</v>
      </c>
      <c r="N243" s="99" t="s">
        <v>41</v>
      </c>
      <c r="O243" s="99" t="s">
        <v>298</v>
      </c>
      <c r="P243" s="77">
        <v>1</v>
      </c>
    </row>
    <row r="244" spans="1:16" s="48" customFormat="1">
      <c r="A244" s="96" t="s">
        <v>306</v>
      </c>
      <c r="B244" s="99" t="s">
        <v>707</v>
      </c>
      <c r="C244" s="99" t="s">
        <v>47</v>
      </c>
      <c r="D244" s="99" t="s">
        <v>107</v>
      </c>
      <c r="E244" s="96" t="s">
        <v>99</v>
      </c>
      <c r="F244" s="101" t="s">
        <v>454</v>
      </c>
      <c r="G244" s="97">
        <v>6584</v>
      </c>
      <c r="H244" s="97">
        <v>5892</v>
      </c>
      <c r="I244" s="97">
        <v>1921.91</v>
      </c>
      <c r="J244" s="97">
        <v>3300</v>
      </c>
      <c r="K244" s="97">
        <v>3300</v>
      </c>
      <c r="L244" s="97">
        <v>0</v>
      </c>
      <c r="M244" s="98">
        <v>1</v>
      </c>
      <c r="N244" s="99" t="s">
        <v>41</v>
      </c>
      <c r="O244" s="99" t="s">
        <v>298</v>
      </c>
      <c r="P244" s="77">
        <v>1</v>
      </c>
    </row>
    <row r="245" spans="1:16" s="48" customFormat="1">
      <c r="A245" s="96" t="s">
        <v>307</v>
      </c>
      <c r="B245" s="99" t="s">
        <v>708</v>
      </c>
      <c r="C245" s="99" t="s">
        <v>47</v>
      </c>
      <c r="D245" s="99" t="s">
        <v>107</v>
      </c>
      <c r="E245" s="96" t="s">
        <v>99</v>
      </c>
      <c r="F245" s="101" t="s">
        <v>454</v>
      </c>
      <c r="G245" s="97">
        <v>6584</v>
      </c>
      <c r="H245" s="97">
        <v>5892</v>
      </c>
      <c r="I245" s="97">
        <v>1921.91</v>
      </c>
      <c r="J245" s="97">
        <v>3300</v>
      </c>
      <c r="K245" s="97">
        <v>3300</v>
      </c>
      <c r="L245" s="97">
        <v>0</v>
      </c>
      <c r="M245" s="98">
        <v>1</v>
      </c>
      <c r="N245" s="99" t="s">
        <v>41</v>
      </c>
      <c r="O245" s="99" t="s">
        <v>298</v>
      </c>
      <c r="P245" s="77">
        <v>1</v>
      </c>
    </row>
    <row r="246" spans="1:16" s="48" customFormat="1">
      <c r="A246" s="96" t="s">
        <v>308</v>
      </c>
      <c r="B246" s="99" t="s">
        <v>709</v>
      </c>
      <c r="C246" s="99" t="s">
        <v>47</v>
      </c>
      <c r="D246" s="99" t="s">
        <v>107</v>
      </c>
      <c r="E246" s="96" t="s">
        <v>99</v>
      </c>
      <c r="F246" s="101" t="s">
        <v>454</v>
      </c>
      <c r="G246" s="97">
        <v>6584</v>
      </c>
      <c r="H246" s="97">
        <v>5892</v>
      </c>
      <c r="I246" s="97">
        <v>1921.91</v>
      </c>
      <c r="J246" s="97">
        <v>3300</v>
      </c>
      <c r="K246" s="97">
        <v>3300</v>
      </c>
      <c r="L246" s="97">
        <v>0</v>
      </c>
      <c r="M246" s="98">
        <v>1</v>
      </c>
      <c r="N246" s="99" t="s">
        <v>41</v>
      </c>
      <c r="O246" s="99" t="s">
        <v>298</v>
      </c>
      <c r="P246" s="77">
        <v>1</v>
      </c>
    </row>
    <row r="247" spans="1:16" s="48" customFormat="1">
      <c r="A247" s="96" t="s">
        <v>309</v>
      </c>
      <c r="B247" s="99" t="s">
        <v>710</v>
      </c>
      <c r="C247" s="99" t="s">
        <v>47</v>
      </c>
      <c r="D247" s="99" t="s">
        <v>107</v>
      </c>
      <c r="E247" s="96" t="s">
        <v>99</v>
      </c>
      <c r="F247" s="101" t="s">
        <v>454</v>
      </c>
      <c r="G247" s="97">
        <v>6584</v>
      </c>
      <c r="H247" s="97">
        <v>5892</v>
      </c>
      <c r="I247" s="97">
        <v>1921.91</v>
      </c>
      <c r="J247" s="97">
        <v>3300</v>
      </c>
      <c r="K247" s="97">
        <v>3300</v>
      </c>
      <c r="L247" s="97">
        <v>0</v>
      </c>
      <c r="M247" s="98">
        <v>1</v>
      </c>
      <c r="N247" s="99" t="s">
        <v>41</v>
      </c>
      <c r="O247" s="99" t="s">
        <v>298</v>
      </c>
      <c r="P247" s="77">
        <v>1</v>
      </c>
    </row>
    <row r="248" spans="1:16" s="48" customFormat="1">
      <c r="A248" s="96" t="s">
        <v>310</v>
      </c>
      <c r="B248" s="99" t="s">
        <v>711</v>
      </c>
      <c r="C248" s="99" t="s">
        <v>47</v>
      </c>
      <c r="D248" s="99" t="s">
        <v>214</v>
      </c>
      <c r="E248" s="96" t="s">
        <v>102</v>
      </c>
      <c r="F248" s="101" t="s">
        <v>228</v>
      </c>
      <c r="G248" s="97">
        <v>24876</v>
      </c>
      <c r="H248" s="97">
        <v>22806</v>
      </c>
      <c r="I248" s="97">
        <v>14043.58</v>
      </c>
      <c r="J248" s="97">
        <v>7410</v>
      </c>
      <c r="K248" s="97">
        <v>7410</v>
      </c>
      <c r="L248" s="97">
        <v>0</v>
      </c>
      <c r="M248" s="98">
        <v>1</v>
      </c>
      <c r="N248" s="99" t="s">
        <v>41</v>
      </c>
      <c r="O248" s="99" t="s">
        <v>298</v>
      </c>
      <c r="P248" s="77">
        <v>1</v>
      </c>
    </row>
    <row r="249" spans="1:16" s="48" customFormat="1">
      <c r="A249" s="96" t="s">
        <v>393</v>
      </c>
      <c r="B249" s="99" t="s">
        <v>712</v>
      </c>
      <c r="C249" s="99" t="s">
        <v>47</v>
      </c>
      <c r="D249" s="99" t="s">
        <v>341</v>
      </c>
      <c r="E249" s="96" t="s">
        <v>99</v>
      </c>
      <c r="F249" s="101" t="s">
        <v>228</v>
      </c>
      <c r="G249" s="97">
        <v>9900</v>
      </c>
      <c r="H249" s="97">
        <v>8844</v>
      </c>
      <c r="I249" s="97">
        <v>66.38</v>
      </c>
      <c r="J249" s="97">
        <v>7448</v>
      </c>
      <c r="K249" s="97">
        <v>7448</v>
      </c>
      <c r="L249" s="97">
        <v>0</v>
      </c>
      <c r="M249" s="98">
        <v>1</v>
      </c>
      <c r="N249" s="99" t="s">
        <v>41</v>
      </c>
      <c r="O249" s="99" t="s">
        <v>391</v>
      </c>
      <c r="P249" s="77">
        <v>1</v>
      </c>
    </row>
    <row r="250" spans="1:16" s="48" customFormat="1">
      <c r="A250" s="96" t="s">
        <v>393</v>
      </c>
      <c r="B250" s="99" t="s">
        <v>712</v>
      </c>
      <c r="C250" s="99" t="s">
        <v>47</v>
      </c>
      <c r="D250" s="99" t="s">
        <v>341</v>
      </c>
      <c r="E250" s="96" t="s">
        <v>102</v>
      </c>
      <c r="F250" s="101" t="s">
        <v>228</v>
      </c>
      <c r="G250" s="97">
        <v>5500</v>
      </c>
      <c r="H250" s="97">
        <v>5360</v>
      </c>
      <c r="I250" s="97">
        <v>47.75</v>
      </c>
      <c r="J250" s="97">
        <v>5320</v>
      </c>
      <c r="K250" s="97">
        <v>2660</v>
      </c>
      <c r="L250" s="97">
        <v>2660</v>
      </c>
      <c r="M250" s="98">
        <v>0.5</v>
      </c>
      <c r="N250" s="99" t="s">
        <v>41</v>
      </c>
      <c r="O250" s="99" t="s">
        <v>391</v>
      </c>
      <c r="P250" s="77"/>
    </row>
    <row r="251" spans="1:16" s="48" customFormat="1">
      <c r="A251" s="96" t="s">
        <v>483</v>
      </c>
      <c r="B251" s="99" t="s">
        <v>484</v>
      </c>
      <c r="C251" s="99" t="s">
        <v>47</v>
      </c>
      <c r="D251" s="99" t="s">
        <v>470</v>
      </c>
      <c r="E251" s="96" t="s">
        <v>99</v>
      </c>
      <c r="F251" s="101" t="s">
        <v>869</v>
      </c>
      <c r="G251" s="97">
        <v>768000</v>
      </c>
      <c r="H251" s="97">
        <v>706000</v>
      </c>
      <c r="I251" s="97">
        <v>0</v>
      </c>
      <c r="J251" s="97">
        <v>0</v>
      </c>
      <c r="K251" s="97">
        <v>0</v>
      </c>
      <c r="L251" s="97">
        <v>0</v>
      </c>
      <c r="M251" s="98">
        <v>0</v>
      </c>
      <c r="N251" s="99" t="s">
        <v>41</v>
      </c>
      <c r="O251" s="99" t="s">
        <v>477</v>
      </c>
      <c r="P251" s="77">
        <v>1</v>
      </c>
    </row>
    <row r="252" spans="1:16" s="48" customFormat="1">
      <c r="A252" s="96" t="s">
        <v>483</v>
      </c>
      <c r="B252" s="99" t="s">
        <v>484</v>
      </c>
      <c r="C252" s="99" t="s">
        <v>47</v>
      </c>
      <c r="D252" s="99" t="s">
        <v>470</v>
      </c>
      <c r="E252" s="96" t="s">
        <v>102</v>
      </c>
      <c r="F252" s="101" t="s">
        <v>869</v>
      </c>
      <c r="G252" s="97">
        <v>96000</v>
      </c>
      <c r="H252" s="97">
        <v>88032</v>
      </c>
      <c r="I252" s="97">
        <v>5242.13</v>
      </c>
      <c r="J252" s="97">
        <v>82709.72</v>
      </c>
      <c r="K252" s="97">
        <v>82709.72</v>
      </c>
      <c r="L252" s="97">
        <v>0</v>
      </c>
      <c r="M252" s="98">
        <v>1</v>
      </c>
      <c r="N252" s="99" t="s">
        <v>41</v>
      </c>
      <c r="O252" s="99" t="s">
        <v>477</v>
      </c>
      <c r="P252" s="77"/>
    </row>
    <row r="253" spans="1:16" s="48" customFormat="1">
      <c r="A253" s="96" t="s">
        <v>485</v>
      </c>
      <c r="B253" s="99" t="s">
        <v>486</v>
      </c>
      <c r="C253" s="99" t="s">
        <v>47</v>
      </c>
      <c r="D253" s="99" t="s">
        <v>470</v>
      </c>
      <c r="E253" s="96" t="s">
        <v>99</v>
      </c>
      <c r="F253" s="101" t="s">
        <v>869</v>
      </c>
      <c r="G253" s="97">
        <v>763600</v>
      </c>
      <c r="H253" s="97">
        <v>701712</v>
      </c>
      <c r="I253" s="97">
        <v>0</v>
      </c>
      <c r="J253" s="97">
        <v>0</v>
      </c>
      <c r="K253" s="97">
        <v>0</v>
      </c>
      <c r="L253" s="97">
        <v>0</v>
      </c>
      <c r="M253" s="98">
        <v>0</v>
      </c>
      <c r="N253" s="99" t="s">
        <v>41</v>
      </c>
      <c r="O253" s="99" t="s">
        <v>477</v>
      </c>
      <c r="P253" s="77">
        <v>1</v>
      </c>
    </row>
    <row r="254" spans="1:16" s="48" customFormat="1">
      <c r="A254" s="96" t="s">
        <v>485</v>
      </c>
      <c r="B254" s="99" t="s">
        <v>486</v>
      </c>
      <c r="C254" s="99" t="s">
        <v>47</v>
      </c>
      <c r="D254" s="99" t="s">
        <v>470</v>
      </c>
      <c r="E254" s="96" t="s">
        <v>102</v>
      </c>
      <c r="F254" s="101" t="s">
        <v>869</v>
      </c>
      <c r="G254" s="97">
        <v>96000</v>
      </c>
      <c r="H254" s="97">
        <v>88032</v>
      </c>
      <c r="I254" s="97">
        <v>5242.13</v>
      </c>
      <c r="J254" s="97">
        <v>82709.72</v>
      </c>
      <c r="K254" s="97">
        <v>82709.72</v>
      </c>
      <c r="L254" s="97">
        <v>0</v>
      </c>
      <c r="M254" s="98">
        <v>1</v>
      </c>
      <c r="N254" s="99" t="s">
        <v>41</v>
      </c>
      <c r="O254" s="99" t="s">
        <v>477</v>
      </c>
      <c r="P254" s="77"/>
    </row>
    <row r="255" spans="1:16" s="48" customFormat="1">
      <c r="A255" s="103"/>
      <c r="B255" s="103"/>
      <c r="C255" s="103"/>
      <c r="D255" s="103"/>
      <c r="E255" s="103"/>
      <c r="F255" s="142"/>
      <c r="G255" s="143"/>
      <c r="H255" s="143"/>
      <c r="I255" s="143"/>
      <c r="J255" s="143"/>
      <c r="K255" s="143"/>
      <c r="L255" s="143"/>
      <c r="M255" s="144"/>
      <c r="N255" s="103"/>
      <c r="O255" s="103"/>
      <c r="P255" s="85"/>
    </row>
    <row r="256" spans="1:16" s="48" customFormat="1">
      <c r="A256" s="105" t="s">
        <v>31</v>
      </c>
      <c r="B256" s="105"/>
      <c r="C256" s="105"/>
      <c r="D256" s="105"/>
      <c r="E256" s="139"/>
      <c r="F256" s="140"/>
      <c r="G256" s="106"/>
      <c r="H256" s="106"/>
      <c r="I256" s="106"/>
      <c r="J256" s="106"/>
      <c r="K256" s="106"/>
      <c r="L256" s="106"/>
      <c r="M256" s="107"/>
      <c r="N256" s="105"/>
      <c r="O256" s="105"/>
      <c r="P256" s="85"/>
    </row>
    <row r="257" spans="1:16" s="48" customFormat="1">
      <c r="A257" s="96" t="s">
        <v>76</v>
      </c>
      <c r="B257" s="99" t="s">
        <v>713</v>
      </c>
      <c r="C257" s="99" t="s">
        <v>48</v>
      </c>
      <c r="D257" s="99" t="s">
        <v>77</v>
      </c>
      <c r="E257" s="96" t="s">
        <v>98</v>
      </c>
      <c r="F257" s="101" t="s">
        <v>850</v>
      </c>
      <c r="G257" s="97">
        <v>18980</v>
      </c>
      <c r="H257" s="97">
        <v>17775.259999999998</v>
      </c>
      <c r="I257" s="97">
        <v>241.71</v>
      </c>
      <c r="J257" s="97">
        <v>17513.169999999998</v>
      </c>
      <c r="K257" s="97">
        <v>12984.59</v>
      </c>
      <c r="L257" s="97">
        <v>4528.58</v>
      </c>
      <c r="M257" s="98">
        <v>0.74099999999999999</v>
      </c>
      <c r="N257" s="99" t="s">
        <v>41</v>
      </c>
      <c r="O257" s="99" t="s">
        <v>121</v>
      </c>
      <c r="P257" s="77">
        <v>1</v>
      </c>
    </row>
    <row r="258" spans="1:16" s="48" customFormat="1">
      <c r="A258" s="96" t="s">
        <v>78</v>
      </c>
      <c r="B258" s="99" t="s">
        <v>714</v>
      </c>
      <c r="C258" s="99" t="s">
        <v>48</v>
      </c>
      <c r="D258" s="99" t="s">
        <v>77</v>
      </c>
      <c r="E258" s="96" t="s">
        <v>98</v>
      </c>
      <c r="F258" s="101" t="s">
        <v>850</v>
      </c>
      <c r="G258" s="97">
        <v>37960</v>
      </c>
      <c r="H258" s="97">
        <v>35550.53</v>
      </c>
      <c r="I258" s="97">
        <v>693.28</v>
      </c>
      <c r="J258" s="97">
        <v>34816.39</v>
      </c>
      <c r="K258" s="97">
        <v>8646.7199999999993</v>
      </c>
      <c r="L258" s="97">
        <v>26169.67</v>
      </c>
      <c r="M258" s="98">
        <v>0.248</v>
      </c>
      <c r="N258" s="99" t="s">
        <v>41</v>
      </c>
      <c r="O258" s="99" t="s">
        <v>122</v>
      </c>
      <c r="P258" s="77"/>
    </row>
    <row r="259" spans="1:16" s="48" customFormat="1">
      <c r="A259" s="96" t="s">
        <v>78</v>
      </c>
      <c r="B259" s="99" t="s">
        <v>714</v>
      </c>
      <c r="C259" s="99" t="s">
        <v>48</v>
      </c>
      <c r="D259" s="99" t="s">
        <v>77</v>
      </c>
      <c r="E259" s="96" t="s">
        <v>99</v>
      </c>
      <c r="F259" s="101" t="s">
        <v>850</v>
      </c>
      <c r="G259" s="97">
        <v>72000</v>
      </c>
      <c r="H259" s="97">
        <v>67055.22</v>
      </c>
      <c r="I259" s="97">
        <v>1087.17</v>
      </c>
      <c r="J259" s="97">
        <v>65889.539999999994</v>
      </c>
      <c r="K259" s="97">
        <v>3352.86</v>
      </c>
      <c r="L259" s="97">
        <v>62536.68</v>
      </c>
      <c r="M259" s="98">
        <v>5.0999999999999997E-2</v>
      </c>
      <c r="N259" s="99" t="s">
        <v>41</v>
      </c>
      <c r="O259" s="99" t="s">
        <v>122</v>
      </c>
      <c r="P259" s="85">
        <v>1</v>
      </c>
    </row>
    <row r="260" spans="1:16" s="48" customFormat="1">
      <c r="A260" s="96" t="s">
        <v>81</v>
      </c>
      <c r="B260" s="99" t="s">
        <v>715</v>
      </c>
      <c r="C260" s="99" t="s">
        <v>48</v>
      </c>
      <c r="D260" s="99" t="s">
        <v>77</v>
      </c>
      <c r="E260" s="96" t="s">
        <v>98</v>
      </c>
      <c r="F260" s="101" t="s">
        <v>850</v>
      </c>
      <c r="G260" s="97">
        <v>114464</v>
      </c>
      <c r="H260" s="97">
        <v>107198.52</v>
      </c>
      <c r="I260" s="97">
        <v>1193.9000000000001</v>
      </c>
      <c r="J260" s="97">
        <v>105879.16</v>
      </c>
      <c r="K260" s="97">
        <v>82775.66</v>
      </c>
      <c r="L260" s="97">
        <v>23103.49</v>
      </c>
      <c r="M260" s="98">
        <v>0.78200000000000003</v>
      </c>
      <c r="N260" s="99" t="s">
        <v>41</v>
      </c>
      <c r="O260" s="99" t="s">
        <v>119</v>
      </c>
      <c r="P260" s="77">
        <v>1</v>
      </c>
    </row>
    <row r="261" spans="1:16" s="48" customFormat="1">
      <c r="A261" s="96" t="s">
        <v>124</v>
      </c>
      <c r="B261" s="99" t="s">
        <v>716</v>
      </c>
      <c r="C261" s="99" t="s">
        <v>48</v>
      </c>
      <c r="D261" s="99" t="s">
        <v>77</v>
      </c>
      <c r="E261" s="96" t="s">
        <v>101</v>
      </c>
      <c r="F261" s="101" t="s">
        <v>850</v>
      </c>
      <c r="G261" s="97">
        <v>8813.34</v>
      </c>
      <c r="H261" s="97">
        <v>8253.92</v>
      </c>
      <c r="I261" s="97">
        <v>34</v>
      </c>
      <c r="J261" s="97">
        <v>8210.25</v>
      </c>
      <c r="K261" s="97">
        <v>7322.05</v>
      </c>
      <c r="L261" s="97">
        <v>888.2</v>
      </c>
      <c r="M261" s="98">
        <v>0.89200000000000002</v>
      </c>
      <c r="N261" s="99" t="s">
        <v>44</v>
      </c>
      <c r="O261" s="99" t="s">
        <v>115</v>
      </c>
      <c r="P261" s="77">
        <v>1</v>
      </c>
    </row>
    <row r="262" spans="1:16" s="48" customFormat="1">
      <c r="A262" s="96" t="s">
        <v>124</v>
      </c>
      <c r="B262" s="99" t="s">
        <v>716</v>
      </c>
      <c r="C262" s="99" t="s">
        <v>48</v>
      </c>
      <c r="D262" s="99" t="s">
        <v>77</v>
      </c>
      <c r="E262" s="96" t="s">
        <v>98</v>
      </c>
      <c r="F262" s="101" t="s">
        <v>850</v>
      </c>
      <c r="G262" s="97">
        <v>23890.66</v>
      </c>
      <c r="H262" s="97">
        <v>22374.23</v>
      </c>
      <c r="I262" s="97">
        <v>92.16</v>
      </c>
      <c r="J262" s="97">
        <v>22255.83</v>
      </c>
      <c r="K262" s="97">
        <v>9594.4</v>
      </c>
      <c r="L262" s="97">
        <v>12661.44</v>
      </c>
      <c r="M262" s="98">
        <v>0.43099999999999999</v>
      </c>
      <c r="N262" s="99" t="s">
        <v>44</v>
      </c>
      <c r="O262" s="99" t="s">
        <v>115</v>
      </c>
      <c r="P262" s="85"/>
    </row>
    <row r="263" spans="1:16" s="48" customFormat="1">
      <c r="A263" s="96" t="s">
        <v>124</v>
      </c>
      <c r="B263" s="99" t="s">
        <v>716</v>
      </c>
      <c r="C263" s="99" t="s">
        <v>48</v>
      </c>
      <c r="D263" s="99" t="s">
        <v>77</v>
      </c>
      <c r="E263" s="96" t="s">
        <v>99</v>
      </c>
      <c r="F263" s="101" t="s">
        <v>850</v>
      </c>
      <c r="G263" s="97">
        <v>26400</v>
      </c>
      <c r="H263" s="97">
        <v>24586.91</v>
      </c>
      <c r="I263" s="97">
        <v>1089.44</v>
      </c>
      <c r="J263" s="97">
        <v>23469.49</v>
      </c>
      <c r="K263" s="97">
        <v>15607.92</v>
      </c>
      <c r="L263" s="97">
        <v>7861.57</v>
      </c>
      <c r="M263" s="98">
        <v>0.66500000000000004</v>
      </c>
      <c r="N263" s="99" t="s">
        <v>44</v>
      </c>
      <c r="O263" s="99" t="s">
        <v>115</v>
      </c>
      <c r="P263" s="85"/>
    </row>
    <row r="264" spans="1:16" s="48" customFormat="1">
      <c r="A264" s="96" t="s">
        <v>125</v>
      </c>
      <c r="B264" s="99" t="s">
        <v>717</v>
      </c>
      <c r="C264" s="99" t="s">
        <v>48</v>
      </c>
      <c r="D264" s="99" t="s">
        <v>77</v>
      </c>
      <c r="E264" s="96" t="s">
        <v>99</v>
      </c>
      <c r="F264" s="101" t="s">
        <v>850</v>
      </c>
      <c r="G264" s="97">
        <v>172800</v>
      </c>
      <c r="H264" s="97">
        <v>160932.53</v>
      </c>
      <c r="I264" s="97">
        <v>2506.69</v>
      </c>
      <c r="J264" s="97">
        <v>158237.85999999999</v>
      </c>
      <c r="K264" s="97">
        <v>136207.92000000001</v>
      </c>
      <c r="L264" s="97">
        <v>22029.95</v>
      </c>
      <c r="M264" s="98">
        <v>0.86099999999999999</v>
      </c>
      <c r="N264" s="99" t="s">
        <v>41</v>
      </c>
      <c r="O264" s="99" t="s">
        <v>115</v>
      </c>
      <c r="P264" s="85">
        <v>1</v>
      </c>
    </row>
    <row r="265" spans="1:16" s="48" customFormat="1">
      <c r="A265" s="96" t="s">
        <v>183</v>
      </c>
      <c r="B265" s="99" t="s">
        <v>718</v>
      </c>
      <c r="C265" s="99" t="s">
        <v>48</v>
      </c>
      <c r="D265" s="99" t="s">
        <v>77</v>
      </c>
      <c r="E265" s="96" t="s">
        <v>99</v>
      </c>
      <c r="F265" s="101" t="s">
        <v>850</v>
      </c>
      <c r="G265" s="97">
        <v>81600</v>
      </c>
      <c r="H265" s="97">
        <v>75995.92</v>
      </c>
      <c r="I265" s="97">
        <v>1112.1199999999999</v>
      </c>
      <c r="J265" s="97">
        <v>74795.039999999994</v>
      </c>
      <c r="K265" s="97">
        <v>63398.22</v>
      </c>
      <c r="L265" s="97">
        <v>11396.82</v>
      </c>
      <c r="M265" s="98">
        <v>0.84799999999999998</v>
      </c>
      <c r="N265" s="99" t="s">
        <v>41</v>
      </c>
      <c r="O265" s="99" t="s">
        <v>178</v>
      </c>
      <c r="P265" s="85">
        <v>1</v>
      </c>
    </row>
    <row r="266" spans="1:16" s="48" customFormat="1">
      <c r="A266" s="96" t="s">
        <v>194</v>
      </c>
      <c r="B266" s="99" t="s">
        <v>719</v>
      </c>
      <c r="C266" s="99" t="s">
        <v>48</v>
      </c>
      <c r="D266" s="99" t="s">
        <v>77</v>
      </c>
      <c r="E266" s="96" t="s">
        <v>98</v>
      </c>
      <c r="F266" s="101" t="s">
        <v>850</v>
      </c>
      <c r="G266" s="97">
        <v>136656</v>
      </c>
      <c r="H266" s="97">
        <v>127981.9</v>
      </c>
      <c r="I266" s="97">
        <v>753.47</v>
      </c>
      <c r="J266" s="97">
        <v>127077.91</v>
      </c>
      <c r="K266" s="97">
        <v>95908.08</v>
      </c>
      <c r="L266" s="97">
        <v>31169.83</v>
      </c>
      <c r="M266" s="98">
        <v>0.755</v>
      </c>
      <c r="N266" s="99" t="s">
        <v>41</v>
      </c>
      <c r="O266" s="99" t="s">
        <v>192</v>
      </c>
      <c r="P266" s="85">
        <v>1</v>
      </c>
    </row>
    <row r="267" spans="1:16" s="48" customFormat="1">
      <c r="A267" s="96" t="s">
        <v>186</v>
      </c>
      <c r="B267" s="99" t="s">
        <v>720</v>
      </c>
      <c r="C267" s="99" t="s">
        <v>48</v>
      </c>
      <c r="D267" s="99" t="s">
        <v>77</v>
      </c>
      <c r="E267" s="96" t="s">
        <v>101</v>
      </c>
      <c r="F267" s="101" t="s">
        <v>850</v>
      </c>
      <c r="G267" s="97">
        <v>13663.94</v>
      </c>
      <c r="H267" s="97">
        <v>12796.63</v>
      </c>
      <c r="I267" s="97">
        <v>24.95</v>
      </c>
      <c r="J267" s="97">
        <v>12756.7</v>
      </c>
      <c r="K267" s="97">
        <v>12293.34</v>
      </c>
      <c r="L267" s="97">
        <v>463.37</v>
      </c>
      <c r="M267" s="98">
        <v>0.96399999999999997</v>
      </c>
      <c r="N267" s="99" t="s">
        <v>44</v>
      </c>
      <c r="O267" s="99" t="s">
        <v>185</v>
      </c>
      <c r="P267" s="77">
        <v>1</v>
      </c>
    </row>
    <row r="268" spans="1:16" s="48" customFormat="1">
      <c r="A268" s="96" t="s">
        <v>186</v>
      </c>
      <c r="B268" s="99" t="s">
        <v>720</v>
      </c>
      <c r="C268" s="99" t="s">
        <v>48</v>
      </c>
      <c r="D268" s="99" t="s">
        <v>77</v>
      </c>
      <c r="E268" s="96" t="s">
        <v>98</v>
      </c>
      <c r="F268" s="101" t="s">
        <v>850</v>
      </c>
      <c r="G268" s="97">
        <v>12032.06</v>
      </c>
      <c r="H268" s="97">
        <v>11268.34</v>
      </c>
      <c r="I268" s="97">
        <v>21.97</v>
      </c>
      <c r="J268" s="97">
        <v>11233.18</v>
      </c>
      <c r="K268" s="97">
        <v>342.73</v>
      </c>
      <c r="L268" s="97">
        <v>10890.45</v>
      </c>
      <c r="M268" s="98">
        <v>3.1E-2</v>
      </c>
      <c r="N268" s="99" t="s">
        <v>44</v>
      </c>
      <c r="O268" s="99" t="s">
        <v>185</v>
      </c>
      <c r="P268" s="85"/>
    </row>
    <row r="269" spans="1:16" s="48" customFormat="1">
      <c r="A269" s="96" t="s">
        <v>186</v>
      </c>
      <c r="B269" s="99" t="s">
        <v>720</v>
      </c>
      <c r="C269" s="99" t="s">
        <v>48</v>
      </c>
      <c r="D269" s="99" t="s">
        <v>77</v>
      </c>
      <c r="E269" s="96" t="s">
        <v>99</v>
      </c>
      <c r="F269" s="101" t="s">
        <v>850</v>
      </c>
      <c r="G269" s="97">
        <v>40800</v>
      </c>
      <c r="H269" s="97">
        <v>37997.96</v>
      </c>
      <c r="I269" s="97">
        <v>463.13</v>
      </c>
      <c r="J269" s="97">
        <v>37490.18</v>
      </c>
      <c r="K269" s="97">
        <v>18151.330000000002</v>
      </c>
      <c r="L269" s="97">
        <v>19338.849999999999</v>
      </c>
      <c r="M269" s="98">
        <v>0.48399999999999999</v>
      </c>
      <c r="N269" s="99" t="s">
        <v>44</v>
      </c>
      <c r="O269" s="99" t="s">
        <v>185</v>
      </c>
      <c r="P269" s="85"/>
    </row>
    <row r="270" spans="1:16" s="48" customFormat="1">
      <c r="A270" s="96" t="s">
        <v>195</v>
      </c>
      <c r="B270" s="99" t="s">
        <v>721</v>
      </c>
      <c r="C270" s="99" t="s">
        <v>48</v>
      </c>
      <c r="D270" s="99" t="s">
        <v>77</v>
      </c>
      <c r="E270" s="96" t="s">
        <v>101</v>
      </c>
      <c r="F270" s="101" t="s">
        <v>856</v>
      </c>
      <c r="G270" s="97">
        <v>14138.76</v>
      </c>
      <c r="H270" s="97">
        <v>13241.32</v>
      </c>
      <c r="I270" s="97">
        <v>81.89</v>
      </c>
      <c r="J270" s="97">
        <v>13143.92</v>
      </c>
      <c r="K270" s="97">
        <v>12717.24</v>
      </c>
      <c r="L270" s="97">
        <v>426.67</v>
      </c>
      <c r="M270" s="98">
        <v>0.96799999999999997</v>
      </c>
      <c r="N270" s="99" t="s">
        <v>44</v>
      </c>
      <c r="O270" s="99" t="s">
        <v>192</v>
      </c>
      <c r="P270" s="77"/>
    </row>
    <row r="271" spans="1:16" s="48" customFormat="1">
      <c r="A271" s="96" t="s">
        <v>195</v>
      </c>
      <c r="B271" s="99" t="s">
        <v>721</v>
      </c>
      <c r="C271" s="99" t="s">
        <v>48</v>
      </c>
      <c r="D271" s="99" t="s">
        <v>77</v>
      </c>
      <c r="E271" s="96" t="s">
        <v>98</v>
      </c>
      <c r="F271" s="101" t="s">
        <v>856</v>
      </c>
      <c r="G271" s="97">
        <v>25573.24</v>
      </c>
      <c r="H271" s="97">
        <v>23950</v>
      </c>
      <c r="I271" s="97">
        <v>148.12</v>
      </c>
      <c r="J271" s="97">
        <v>23773.82</v>
      </c>
      <c r="K271" s="97">
        <v>343.6</v>
      </c>
      <c r="L271" s="97">
        <v>23430.22</v>
      </c>
      <c r="M271" s="98">
        <v>1.4E-2</v>
      </c>
      <c r="N271" s="99" t="s">
        <v>44</v>
      </c>
      <c r="O271" s="99" t="s">
        <v>192</v>
      </c>
      <c r="P271" s="85">
        <v>1</v>
      </c>
    </row>
    <row r="272" spans="1:16" s="48" customFormat="1">
      <c r="A272" s="96" t="s">
        <v>195</v>
      </c>
      <c r="B272" s="99" t="s">
        <v>721</v>
      </c>
      <c r="C272" s="99" t="s">
        <v>48</v>
      </c>
      <c r="D272" s="99" t="s">
        <v>77</v>
      </c>
      <c r="E272" s="96" t="s">
        <v>99</v>
      </c>
      <c r="F272" s="101" t="s">
        <v>856</v>
      </c>
      <c r="G272" s="97">
        <v>28800</v>
      </c>
      <c r="H272" s="97">
        <v>26822.09</v>
      </c>
      <c r="I272" s="97">
        <v>358.86</v>
      </c>
      <c r="J272" s="97">
        <v>26431.73</v>
      </c>
      <c r="K272" s="97">
        <v>8911.68</v>
      </c>
      <c r="L272" s="97">
        <v>17520.05</v>
      </c>
      <c r="M272" s="98">
        <v>0.33700000000000002</v>
      </c>
      <c r="N272" s="99" t="s">
        <v>44</v>
      </c>
      <c r="O272" s="99" t="s">
        <v>192</v>
      </c>
      <c r="P272" s="85"/>
    </row>
    <row r="273" spans="1:16" s="48" customFormat="1">
      <c r="A273" s="96" t="s">
        <v>275</v>
      </c>
      <c r="B273" s="99" t="s">
        <v>722</v>
      </c>
      <c r="C273" s="99" t="s">
        <v>48</v>
      </c>
      <c r="D273" s="99" t="s">
        <v>267</v>
      </c>
      <c r="E273" s="96" t="s">
        <v>99</v>
      </c>
      <c r="F273" s="101" t="s">
        <v>852</v>
      </c>
      <c r="G273" s="97">
        <v>139200</v>
      </c>
      <c r="H273" s="97">
        <v>126485.45</v>
      </c>
      <c r="I273" s="97">
        <v>1050.32</v>
      </c>
      <c r="J273" s="97">
        <v>123508.75</v>
      </c>
      <c r="K273" s="97">
        <v>85991.29</v>
      </c>
      <c r="L273" s="97">
        <v>37517.46</v>
      </c>
      <c r="M273" s="98">
        <v>0.69599999999999995</v>
      </c>
      <c r="N273" s="99" t="s">
        <v>41</v>
      </c>
      <c r="O273" s="99" t="s">
        <v>235</v>
      </c>
      <c r="P273" s="85">
        <v>1</v>
      </c>
    </row>
    <row r="274" spans="1:16" s="48" customFormat="1">
      <c r="A274" s="96" t="s">
        <v>276</v>
      </c>
      <c r="B274" s="99" t="s">
        <v>723</v>
      </c>
      <c r="C274" s="99" t="s">
        <v>48</v>
      </c>
      <c r="D274" s="99" t="s">
        <v>267</v>
      </c>
      <c r="E274" s="96" t="s">
        <v>99</v>
      </c>
      <c r="F274" s="101" t="s">
        <v>852</v>
      </c>
      <c r="G274" s="97">
        <v>288000</v>
      </c>
      <c r="H274" s="97">
        <v>261694.04</v>
      </c>
      <c r="I274" s="97">
        <v>3290.47</v>
      </c>
      <c r="J274" s="97">
        <v>256006.33</v>
      </c>
      <c r="K274" s="97">
        <v>162368.15</v>
      </c>
      <c r="L274" s="97">
        <v>93638.18</v>
      </c>
      <c r="M274" s="98">
        <v>0.63400000000000001</v>
      </c>
      <c r="N274" s="99" t="s">
        <v>41</v>
      </c>
      <c r="O274" s="99" t="s">
        <v>235</v>
      </c>
      <c r="P274" s="85">
        <v>1</v>
      </c>
    </row>
    <row r="275" spans="1:16" s="48" customFormat="1">
      <c r="A275" s="96" t="s">
        <v>277</v>
      </c>
      <c r="B275" s="99" t="s">
        <v>724</v>
      </c>
      <c r="C275" s="99" t="s">
        <v>48</v>
      </c>
      <c r="D275" s="99" t="s">
        <v>267</v>
      </c>
      <c r="E275" s="96" t="s">
        <v>99</v>
      </c>
      <c r="F275" s="101" t="s">
        <v>852</v>
      </c>
      <c r="G275" s="97">
        <v>259200.01</v>
      </c>
      <c r="H275" s="97">
        <v>235524.62</v>
      </c>
      <c r="I275" s="97">
        <v>3043.16</v>
      </c>
      <c r="J275" s="97">
        <v>230368.34</v>
      </c>
      <c r="K275" s="97">
        <v>144840.92000000001</v>
      </c>
      <c r="L275" s="97">
        <v>85527.43</v>
      </c>
      <c r="M275" s="98">
        <v>0.629</v>
      </c>
      <c r="N275" s="99" t="s">
        <v>41</v>
      </c>
      <c r="O275" s="99" t="s">
        <v>269</v>
      </c>
      <c r="P275" s="85">
        <v>1</v>
      </c>
    </row>
    <row r="276" spans="1:16" s="48" customFormat="1">
      <c r="A276" s="96" t="s">
        <v>290</v>
      </c>
      <c r="B276" s="99" t="s">
        <v>725</v>
      </c>
      <c r="C276" s="99" t="s">
        <v>48</v>
      </c>
      <c r="D276" s="99" t="s">
        <v>267</v>
      </c>
      <c r="E276" s="96" t="s">
        <v>99</v>
      </c>
      <c r="F276" s="101" t="s">
        <v>852</v>
      </c>
      <c r="G276" s="97">
        <v>280799.99</v>
      </c>
      <c r="H276" s="97">
        <v>255151.68</v>
      </c>
      <c r="I276" s="97">
        <v>3349.45</v>
      </c>
      <c r="J276" s="97">
        <v>249531.27</v>
      </c>
      <c r="K276" s="97">
        <v>191461.85</v>
      </c>
      <c r="L276" s="97">
        <v>58069.43</v>
      </c>
      <c r="M276" s="98">
        <v>0.76700000000000002</v>
      </c>
      <c r="N276" s="99" t="s">
        <v>41</v>
      </c>
      <c r="O276" s="99" t="s">
        <v>291</v>
      </c>
      <c r="P276" s="85">
        <v>1</v>
      </c>
    </row>
    <row r="277" spans="1:16" s="48" customFormat="1">
      <c r="A277" s="96" t="s">
        <v>55</v>
      </c>
      <c r="B277" s="99" t="s">
        <v>726</v>
      </c>
      <c r="C277" s="99" t="s">
        <v>48</v>
      </c>
      <c r="D277" s="99" t="s">
        <v>45</v>
      </c>
      <c r="E277" s="96" t="s">
        <v>98</v>
      </c>
      <c r="F277" s="101" t="s">
        <v>850</v>
      </c>
      <c r="G277" s="97">
        <v>36208</v>
      </c>
      <c r="H277" s="97">
        <v>33909.74</v>
      </c>
      <c r="I277" s="97">
        <v>1703.2</v>
      </c>
      <c r="J277" s="97">
        <v>32176.92</v>
      </c>
      <c r="K277" s="97">
        <v>31431.21</v>
      </c>
      <c r="L277" s="97">
        <v>745.71</v>
      </c>
      <c r="M277" s="98">
        <v>0.97699999999999998</v>
      </c>
      <c r="N277" s="99" t="s">
        <v>44</v>
      </c>
      <c r="O277" s="99" t="s">
        <v>54</v>
      </c>
      <c r="P277" s="77">
        <v>1</v>
      </c>
    </row>
    <row r="278" spans="1:16" s="48" customFormat="1">
      <c r="A278" s="96" t="s">
        <v>55</v>
      </c>
      <c r="B278" s="99" t="s">
        <v>726</v>
      </c>
      <c r="C278" s="99" t="s">
        <v>48</v>
      </c>
      <c r="D278" s="99" t="s">
        <v>45</v>
      </c>
      <c r="E278" s="96" t="s">
        <v>99</v>
      </c>
      <c r="F278" s="101" t="s">
        <v>850</v>
      </c>
      <c r="G278" s="97">
        <v>33600</v>
      </c>
      <c r="H278" s="97">
        <v>31292.44</v>
      </c>
      <c r="I278" s="97">
        <v>6693.22</v>
      </c>
      <c r="J278" s="97">
        <v>24569.759999999998</v>
      </c>
      <c r="K278" s="97">
        <v>16613.73</v>
      </c>
      <c r="L278" s="97">
        <v>7956.02</v>
      </c>
      <c r="M278" s="98">
        <v>0.67600000000000005</v>
      </c>
      <c r="N278" s="99" t="s">
        <v>44</v>
      </c>
      <c r="O278" s="99" t="s">
        <v>54</v>
      </c>
      <c r="P278" s="85"/>
    </row>
    <row r="279" spans="1:16" s="48" customFormat="1">
      <c r="A279" s="96" t="s">
        <v>56</v>
      </c>
      <c r="B279" s="99" t="s">
        <v>727</v>
      </c>
      <c r="C279" s="99" t="s">
        <v>48</v>
      </c>
      <c r="D279" s="99" t="s">
        <v>45</v>
      </c>
      <c r="E279" s="96" t="s">
        <v>101</v>
      </c>
      <c r="F279" s="101" t="s">
        <v>850</v>
      </c>
      <c r="G279" s="97">
        <v>19928.46</v>
      </c>
      <c r="H279" s="97">
        <v>18663.53</v>
      </c>
      <c r="I279" s="97">
        <v>270.39999999999998</v>
      </c>
      <c r="J279" s="97">
        <v>18210.060000000001</v>
      </c>
      <c r="K279" s="97">
        <v>7418.96</v>
      </c>
      <c r="L279" s="97">
        <v>10791.1</v>
      </c>
      <c r="M279" s="98">
        <v>0.40699999999999997</v>
      </c>
      <c r="N279" s="99" t="s">
        <v>44</v>
      </c>
      <c r="O279" s="99" t="s">
        <v>57</v>
      </c>
      <c r="P279" s="77"/>
    </row>
    <row r="280" spans="1:16" s="48" customFormat="1">
      <c r="A280" s="96" t="s">
        <v>56</v>
      </c>
      <c r="B280" s="99" t="s">
        <v>727</v>
      </c>
      <c r="C280" s="99" t="s">
        <v>48</v>
      </c>
      <c r="D280" s="99" t="s">
        <v>45</v>
      </c>
      <c r="E280" s="96" t="s">
        <v>98</v>
      </c>
      <c r="F280" s="101" t="s">
        <v>850</v>
      </c>
      <c r="G280" s="97">
        <v>25331.54</v>
      </c>
      <c r="H280" s="97">
        <v>23723.64</v>
      </c>
      <c r="I280" s="97">
        <v>484.8</v>
      </c>
      <c r="J280" s="97">
        <v>23147.23</v>
      </c>
      <c r="K280" s="97">
        <v>8937.19</v>
      </c>
      <c r="L280" s="97">
        <v>14210.04</v>
      </c>
      <c r="M280" s="98">
        <v>0.38600000000000001</v>
      </c>
      <c r="N280" s="99" t="s">
        <v>44</v>
      </c>
      <c r="O280" s="99" t="s">
        <v>57</v>
      </c>
      <c r="P280" s="85">
        <v>1</v>
      </c>
    </row>
    <row r="281" spans="1:16" s="48" customFormat="1">
      <c r="A281" s="96" t="s">
        <v>56</v>
      </c>
      <c r="B281" s="99" t="s">
        <v>727</v>
      </c>
      <c r="C281" s="99" t="s">
        <v>48</v>
      </c>
      <c r="D281" s="99" t="s">
        <v>45</v>
      </c>
      <c r="E281" s="96" t="s">
        <v>99</v>
      </c>
      <c r="F281" s="101" t="s">
        <v>850</v>
      </c>
      <c r="G281" s="97">
        <v>4800</v>
      </c>
      <c r="H281" s="97">
        <v>4470.3500000000004</v>
      </c>
      <c r="I281" s="97">
        <v>3775.67</v>
      </c>
      <c r="J281" s="97">
        <v>693.84</v>
      </c>
      <c r="K281" s="97">
        <v>385.46</v>
      </c>
      <c r="L281" s="97">
        <v>308.38</v>
      </c>
      <c r="M281" s="98">
        <v>0.55600000000000005</v>
      </c>
      <c r="N281" s="99" t="s">
        <v>44</v>
      </c>
      <c r="O281" s="99" t="s">
        <v>57</v>
      </c>
      <c r="P281" s="85"/>
    </row>
    <row r="282" spans="1:16" s="48" customFormat="1">
      <c r="A282" s="96" t="s">
        <v>296</v>
      </c>
      <c r="B282" s="99" t="s">
        <v>728</v>
      </c>
      <c r="C282" s="99" t="s">
        <v>48</v>
      </c>
      <c r="D282" s="99" t="s">
        <v>267</v>
      </c>
      <c r="E282" s="96" t="s">
        <v>99</v>
      </c>
      <c r="F282" s="101" t="s">
        <v>852</v>
      </c>
      <c r="G282" s="97">
        <v>165600</v>
      </c>
      <c r="H282" s="97">
        <v>150474.06</v>
      </c>
      <c r="I282" s="97">
        <v>1289.6099999999999</v>
      </c>
      <c r="J282" s="97">
        <v>147508.44</v>
      </c>
      <c r="K282" s="97">
        <v>105597.16</v>
      </c>
      <c r="L282" s="97">
        <v>41911.279999999999</v>
      </c>
      <c r="M282" s="98">
        <v>0.71599999999999997</v>
      </c>
      <c r="N282" s="99" t="s">
        <v>44</v>
      </c>
      <c r="O282" s="99" t="s">
        <v>294</v>
      </c>
      <c r="P282" s="77">
        <v>1</v>
      </c>
    </row>
    <row r="283" spans="1:16" s="48" customFormat="1">
      <c r="A283" s="96" t="s">
        <v>353</v>
      </c>
      <c r="B283" s="99" t="s">
        <v>729</v>
      </c>
      <c r="C283" s="99" t="s">
        <v>48</v>
      </c>
      <c r="D283" s="99" t="s">
        <v>267</v>
      </c>
      <c r="E283" s="96" t="s">
        <v>99</v>
      </c>
      <c r="F283" s="101" t="s">
        <v>852</v>
      </c>
      <c r="G283" s="97">
        <v>129600</v>
      </c>
      <c r="H283" s="97">
        <v>117762.32</v>
      </c>
      <c r="I283" s="97">
        <v>882.09</v>
      </c>
      <c r="J283" s="97">
        <v>115083.34</v>
      </c>
      <c r="K283" s="97">
        <v>58115.58</v>
      </c>
      <c r="L283" s="97">
        <v>56967.77</v>
      </c>
      <c r="M283" s="98">
        <v>0.505</v>
      </c>
      <c r="N283" s="99" t="s">
        <v>44</v>
      </c>
      <c r="O283" s="99" t="s">
        <v>312</v>
      </c>
      <c r="P283" s="77">
        <v>1</v>
      </c>
    </row>
    <row r="284" spans="1:16" s="48" customFormat="1">
      <c r="A284" s="96" t="s">
        <v>354</v>
      </c>
      <c r="B284" s="99" t="s">
        <v>730</v>
      </c>
      <c r="C284" s="99" t="s">
        <v>48</v>
      </c>
      <c r="D284" s="99" t="s">
        <v>267</v>
      </c>
      <c r="E284" s="96" t="s">
        <v>99</v>
      </c>
      <c r="F284" s="101" t="s">
        <v>852</v>
      </c>
      <c r="G284" s="97">
        <v>50438.34</v>
      </c>
      <c r="H284" s="97">
        <v>45831.3</v>
      </c>
      <c r="I284" s="97">
        <v>794.33</v>
      </c>
      <c r="J284" s="97">
        <v>45831.3</v>
      </c>
      <c r="K284" s="97">
        <v>44906.71</v>
      </c>
      <c r="L284" s="97">
        <v>924.59</v>
      </c>
      <c r="M284" s="98">
        <v>0.98</v>
      </c>
      <c r="N284" s="99" t="s">
        <v>41</v>
      </c>
      <c r="O284" s="99" t="s">
        <v>312</v>
      </c>
      <c r="P284" s="77">
        <v>1</v>
      </c>
    </row>
    <row r="285" spans="1:16" s="48" customFormat="1">
      <c r="A285" s="96" t="s">
        <v>354</v>
      </c>
      <c r="B285" s="99" t="s">
        <v>730</v>
      </c>
      <c r="C285" s="99" t="s">
        <v>48</v>
      </c>
      <c r="D285" s="99" t="s">
        <v>267</v>
      </c>
      <c r="E285" s="96" t="s">
        <v>102</v>
      </c>
      <c r="F285" s="101" t="s">
        <v>852</v>
      </c>
      <c r="G285" s="97">
        <v>34361.660000000003</v>
      </c>
      <c r="H285" s="97">
        <v>31954.37</v>
      </c>
      <c r="I285" s="97">
        <v>87.39</v>
      </c>
      <c r="J285" s="97">
        <v>29892.12</v>
      </c>
      <c r="K285" s="97">
        <v>23790.33</v>
      </c>
      <c r="L285" s="97">
        <v>6101.78</v>
      </c>
      <c r="M285" s="98">
        <v>0.79600000000000004</v>
      </c>
      <c r="N285" s="99" t="s">
        <v>41</v>
      </c>
      <c r="O285" s="99" t="s">
        <v>312</v>
      </c>
      <c r="P285" s="77"/>
    </row>
    <row r="286" spans="1:16" s="48" customFormat="1">
      <c r="A286" s="96" t="s">
        <v>370</v>
      </c>
      <c r="B286" s="99" t="s">
        <v>731</v>
      </c>
      <c r="C286" s="99" t="s">
        <v>48</v>
      </c>
      <c r="D286" s="99" t="s">
        <v>267</v>
      </c>
      <c r="E286" s="96" t="s">
        <v>99</v>
      </c>
      <c r="F286" s="101" t="s">
        <v>852</v>
      </c>
      <c r="G286" s="97">
        <v>105600</v>
      </c>
      <c r="H286" s="97">
        <v>95954.48</v>
      </c>
      <c r="I286" s="97">
        <v>1962.53</v>
      </c>
      <c r="J286" s="97">
        <v>92551.16</v>
      </c>
      <c r="K286" s="97">
        <v>42873.37</v>
      </c>
      <c r="L286" s="97">
        <v>49677.8</v>
      </c>
      <c r="M286" s="98">
        <v>0.46300000000000002</v>
      </c>
      <c r="N286" s="99" t="s">
        <v>41</v>
      </c>
      <c r="O286" s="99" t="s">
        <v>369</v>
      </c>
      <c r="P286" s="77">
        <v>1</v>
      </c>
    </row>
    <row r="287" spans="1:16" s="48" customFormat="1">
      <c r="A287" s="96" t="s">
        <v>58</v>
      </c>
      <c r="B287" s="99" t="s">
        <v>732</v>
      </c>
      <c r="C287" s="99" t="s">
        <v>48</v>
      </c>
      <c r="D287" s="99" t="s">
        <v>45</v>
      </c>
      <c r="E287" s="96" t="s">
        <v>101</v>
      </c>
      <c r="F287" s="101" t="s">
        <v>850</v>
      </c>
      <c r="G287" s="97">
        <v>35166.03</v>
      </c>
      <c r="H287" s="97">
        <v>32933.9</v>
      </c>
      <c r="I287" s="97">
        <v>388.33</v>
      </c>
      <c r="J287" s="97">
        <v>32457.84</v>
      </c>
      <c r="K287" s="97">
        <v>28527.06</v>
      </c>
      <c r="L287" s="97">
        <v>3930.78</v>
      </c>
      <c r="M287" s="98">
        <v>0.879</v>
      </c>
      <c r="N287" s="99" t="s">
        <v>44</v>
      </c>
      <c r="O287" s="99" t="s">
        <v>116</v>
      </c>
      <c r="P287" s="77">
        <v>1</v>
      </c>
    </row>
    <row r="288" spans="1:16" s="48" customFormat="1">
      <c r="A288" s="96" t="s">
        <v>58</v>
      </c>
      <c r="B288" s="99" t="s">
        <v>732</v>
      </c>
      <c r="C288" s="99" t="s">
        <v>48</v>
      </c>
      <c r="D288" s="99" t="s">
        <v>45</v>
      </c>
      <c r="E288" s="96" t="s">
        <v>98</v>
      </c>
      <c r="F288" s="101" t="s">
        <v>850</v>
      </c>
      <c r="G288" s="97">
        <v>28051.97</v>
      </c>
      <c r="H288" s="97">
        <v>26271.4</v>
      </c>
      <c r="I288" s="97">
        <v>353.87</v>
      </c>
      <c r="J288" s="97">
        <v>25891.65</v>
      </c>
      <c r="K288" s="97">
        <v>2197.1999999999998</v>
      </c>
      <c r="L288" s="97">
        <v>23694.45</v>
      </c>
      <c r="M288" s="98">
        <v>8.5000000000000006E-2</v>
      </c>
      <c r="N288" s="99" t="s">
        <v>44</v>
      </c>
      <c r="O288" s="99" t="s">
        <v>116</v>
      </c>
      <c r="P288" s="85"/>
    </row>
    <row r="289" spans="1:16" s="48" customFormat="1">
      <c r="A289" s="96" t="s">
        <v>58</v>
      </c>
      <c r="B289" s="99" t="s">
        <v>732</v>
      </c>
      <c r="C289" s="99" t="s">
        <v>48</v>
      </c>
      <c r="D289" s="99" t="s">
        <v>45</v>
      </c>
      <c r="E289" s="96" t="s">
        <v>99</v>
      </c>
      <c r="F289" s="101" t="s">
        <v>850</v>
      </c>
      <c r="G289" s="97">
        <v>14400</v>
      </c>
      <c r="H289" s="97">
        <v>13411.04</v>
      </c>
      <c r="I289" s="97">
        <v>138.35</v>
      </c>
      <c r="J289" s="97">
        <v>13256.9</v>
      </c>
      <c r="K289" s="97">
        <v>2235.1999999999998</v>
      </c>
      <c r="L289" s="97">
        <v>11021.7</v>
      </c>
      <c r="M289" s="98">
        <v>0.16900000000000001</v>
      </c>
      <c r="N289" s="99" t="s">
        <v>44</v>
      </c>
      <c r="O289" s="99" t="s">
        <v>116</v>
      </c>
      <c r="P289" s="85"/>
    </row>
    <row r="290" spans="1:16" s="48" customFormat="1">
      <c r="A290" s="96" t="s">
        <v>371</v>
      </c>
      <c r="B290" s="99" t="s">
        <v>733</v>
      </c>
      <c r="C290" s="99" t="s">
        <v>48</v>
      </c>
      <c r="D290" s="99" t="s">
        <v>267</v>
      </c>
      <c r="E290" s="96" t="s">
        <v>99</v>
      </c>
      <c r="F290" s="101" t="s">
        <v>852</v>
      </c>
      <c r="G290" s="97">
        <v>38400</v>
      </c>
      <c r="H290" s="97">
        <v>34892.54</v>
      </c>
      <c r="I290" s="97">
        <v>600.25</v>
      </c>
      <c r="J290" s="97">
        <v>33770.589999999997</v>
      </c>
      <c r="K290" s="97">
        <v>22803.31</v>
      </c>
      <c r="L290" s="97">
        <v>10967.28</v>
      </c>
      <c r="M290" s="98">
        <v>0.67500000000000004</v>
      </c>
      <c r="N290" s="99" t="s">
        <v>44</v>
      </c>
      <c r="O290" s="99" t="s">
        <v>369</v>
      </c>
      <c r="P290" s="77">
        <v>1</v>
      </c>
    </row>
    <row r="291" spans="1:16" s="48" customFormat="1">
      <c r="A291" s="96" t="s">
        <v>385</v>
      </c>
      <c r="B291" s="99" t="s">
        <v>734</v>
      </c>
      <c r="C291" s="99" t="s">
        <v>48</v>
      </c>
      <c r="D291" s="99" t="s">
        <v>267</v>
      </c>
      <c r="E291" s="96" t="s">
        <v>99</v>
      </c>
      <c r="F291" s="101" t="s">
        <v>852</v>
      </c>
      <c r="G291" s="97">
        <v>139200</v>
      </c>
      <c r="H291" s="97">
        <v>126485.45</v>
      </c>
      <c r="I291" s="97">
        <v>1015.43</v>
      </c>
      <c r="J291" s="97">
        <v>123543.64</v>
      </c>
      <c r="K291" s="97">
        <v>100208.41</v>
      </c>
      <c r="L291" s="97">
        <v>23335.25</v>
      </c>
      <c r="M291" s="98">
        <v>0.81100000000000005</v>
      </c>
      <c r="N291" s="99" t="s">
        <v>41</v>
      </c>
      <c r="O291" s="99" t="s">
        <v>384</v>
      </c>
      <c r="P291" s="77">
        <v>1</v>
      </c>
    </row>
    <row r="292" spans="1:16" s="48" customFormat="1">
      <c r="A292" s="96" t="s">
        <v>403</v>
      </c>
      <c r="B292" s="99" t="s">
        <v>735</v>
      </c>
      <c r="C292" s="99" t="s">
        <v>48</v>
      </c>
      <c r="D292" s="99" t="s">
        <v>267</v>
      </c>
      <c r="E292" s="96" t="s">
        <v>99</v>
      </c>
      <c r="F292" s="101" t="s">
        <v>852</v>
      </c>
      <c r="G292" s="97">
        <v>345600.01</v>
      </c>
      <c r="H292" s="97">
        <v>314032.84000000003</v>
      </c>
      <c r="I292" s="97">
        <v>3418.19</v>
      </c>
      <c r="J292" s="97">
        <v>307477.42</v>
      </c>
      <c r="K292" s="97">
        <v>225317.28</v>
      </c>
      <c r="L292" s="97">
        <v>82160.14</v>
      </c>
      <c r="M292" s="98">
        <v>0.73299999999999998</v>
      </c>
      <c r="N292" s="99" t="s">
        <v>41</v>
      </c>
      <c r="O292" s="99" t="s">
        <v>399</v>
      </c>
      <c r="P292" s="77">
        <v>1</v>
      </c>
    </row>
    <row r="293" spans="1:16" s="48" customFormat="1">
      <c r="A293" s="96" t="s">
        <v>404</v>
      </c>
      <c r="B293" s="99" t="s">
        <v>736</v>
      </c>
      <c r="C293" s="99" t="s">
        <v>48</v>
      </c>
      <c r="D293" s="99" t="s">
        <v>267</v>
      </c>
      <c r="E293" s="96" t="s">
        <v>99</v>
      </c>
      <c r="F293" s="101" t="s">
        <v>853</v>
      </c>
      <c r="G293" s="97">
        <v>177600</v>
      </c>
      <c r="H293" s="97">
        <v>159188.82999999999</v>
      </c>
      <c r="I293" s="97">
        <v>754.62</v>
      </c>
      <c r="J293" s="97">
        <v>155993.01</v>
      </c>
      <c r="K293" s="97">
        <v>89504.29</v>
      </c>
      <c r="L293" s="97">
        <v>66488.72</v>
      </c>
      <c r="M293" s="98">
        <v>0.57399999999999995</v>
      </c>
      <c r="N293" s="99" t="s">
        <v>41</v>
      </c>
      <c r="O293" s="99" t="s">
        <v>408</v>
      </c>
      <c r="P293" s="77">
        <v>1</v>
      </c>
    </row>
    <row r="294" spans="1:16" s="48" customFormat="1">
      <c r="A294" s="96" t="s">
        <v>407</v>
      </c>
      <c r="B294" s="99" t="s">
        <v>737</v>
      </c>
      <c r="C294" s="99" t="s">
        <v>48</v>
      </c>
      <c r="D294" s="99" t="s">
        <v>267</v>
      </c>
      <c r="E294" s="96" t="s">
        <v>99</v>
      </c>
      <c r="F294" s="101" t="s">
        <v>851</v>
      </c>
      <c r="G294" s="97">
        <v>134400</v>
      </c>
      <c r="H294" s="97">
        <v>122123.89</v>
      </c>
      <c r="I294" s="97">
        <v>1789.17</v>
      </c>
      <c r="J294" s="97">
        <v>118488.66</v>
      </c>
      <c r="K294" s="97">
        <v>90933.2</v>
      </c>
      <c r="L294" s="97">
        <v>27555.45</v>
      </c>
      <c r="M294" s="98">
        <v>0.76700000000000002</v>
      </c>
      <c r="N294" s="99" t="s">
        <v>41</v>
      </c>
      <c r="O294" s="99" t="s">
        <v>409</v>
      </c>
      <c r="P294" s="77">
        <v>1</v>
      </c>
    </row>
    <row r="295" spans="1:16" s="48" customFormat="1">
      <c r="A295" s="96" t="s">
        <v>447</v>
      </c>
      <c r="B295" s="99" t="s">
        <v>738</v>
      </c>
      <c r="C295" s="99" t="s">
        <v>48</v>
      </c>
      <c r="D295" s="99" t="s">
        <v>267</v>
      </c>
      <c r="E295" s="96" t="s">
        <v>99</v>
      </c>
      <c r="F295" s="101" t="s">
        <v>853</v>
      </c>
      <c r="G295" s="97">
        <v>384000</v>
      </c>
      <c r="H295" s="97">
        <v>344547.07</v>
      </c>
      <c r="I295" s="97">
        <v>1816.2</v>
      </c>
      <c r="J295" s="97">
        <v>337463.18</v>
      </c>
      <c r="K295" s="97">
        <v>135018.85</v>
      </c>
      <c r="L295" s="97">
        <v>202444.33</v>
      </c>
      <c r="M295" s="98">
        <v>0.4</v>
      </c>
      <c r="N295" s="99" t="s">
        <v>41</v>
      </c>
      <c r="O295" s="99" t="s">
        <v>444</v>
      </c>
      <c r="P295" s="77">
        <v>1</v>
      </c>
    </row>
    <row r="296" spans="1:16" s="48" customFormat="1">
      <c r="A296" s="96" t="s">
        <v>421</v>
      </c>
      <c r="B296" s="99" t="s">
        <v>739</v>
      </c>
      <c r="C296" s="99" t="s">
        <v>48</v>
      </c>
      <c r="D296" s="99" t="s">
        <v>267</v>
      </c>
      <c r="E296" s="96" t="s">
        <v>99</v>
      </c>
      <c r="F296" s="101" t="s">
        <v>851</v>
      </c>
      <c r="G296" s="97">
        <v>316799.99</v>
      </c>
      <c r="H296" s="97">
        <v>287863.43</v>
      </c>
      <c r="I296" s="97">
        <v>3916.85</v>
      </c>
      <c r="J296" s="97">
        <v>281457.55</v>
      </c>
      <c r="K296" s="97">
        <v>181367.18</v>
      </c>
      <c r="L296" s="97">
        <v>100090.37</v>
      </c>
      <c r="M296" s="98">
        <v>0.64400000000000002</v>
      </c>
      <c r="N296" s="99" t="s">
        <v>41</v>
      </c>
      <c r="O296" s="99" t="s">
        <v>419</v>
      </c>
      <c r="P296" s="77">
        <v>1</v>
      </c>
    </row>
    <row r="297" spans="1:16" s="48" customFormat="1">
      <c r="A297" s="96" t="s">
        <v>82</v>
      </c>
      <c r="B297" s="99" t="s">
        <v>740</v>
      </c>
      <c r="C297" s="99" t="s">
        <v>48</v>
      </c>
      <c r="D297" s="99" t="s">
        <v>77</v>
      </c>
      <c r="E297" s="96" t="s">
        <v>101</v>
      </c>
      <c r="F297" s="101" t="s">
        <v>850</v>
      </c>
      <c r="G297" s="97">
        <v>21739.24</v>
      </c>
      <c r="H297" s="97">
        <v>20359.36</v>
      </c>
      <c r="I297" s="97">
        <v>63.12</v>
      </c>
      <c r="J297" s="97">
        <v>20272.36</v>
      </c>
      <c r="K297" s="97">
        <v>19692.46</v>
      </c>
      <c r="L297" s="97">
        <v>579.9</v>
      </c>
      <c r="M297" s="98">
        <v>0.97099999999999997</v>
      </c>
      <c r="N297" s="99" t="s">
        <v>44</v>
      </c>
      <c r="O297" s="99" t="s">
        <v>119</v>
      </c>
      <c r="P297" s="77"/>
    </row>
    <row r="298" spans="1:16" s="48" customFormat="1">
      <c r="A298" s="96" t="s">
        <v>82</v>
      </c>
      <c r="B298" s="99" t="s">
        <v>740</v>
      </c>
      <c r="C298" s="99" t="s">
        <v>48</v>
      </c>
      <c r="D298" s="99" t="s">
        <v>77</v>
      </c>
      <c r="E298" s="96" t="s">
        <v>98</v>
      </c>
      <c r="F298" s="101" t="s">
        <v>850</v>
      </c>
      <c r="G298" s="97">
        <v>9796.76</v>
      </c>
      <c r="H298" s="97">
        <v>9174.92</v>
      </c>
      <c r="I298" s="97">
        <v>28.44</v>
      </c>
      <c r="J298" s="97">
        <v>9135.7199999999993</v>
      </c>
      <c r="K298" s="97">
        <v>2548.5500000000002</v>
      </c>
      <c r="L298" s="97">
        <v>6587.16</v>
      </c>
      <c r="M298" s="98">
        <v>0.27900000000000003</v>
      </c>
      <c r="N298" s="99" t="s">
        <v>44</v>
      </c>
      <c r="O298" s="99" t="s">
        <v>119</v>
      </c>
      <c r="P298" s="85">
        <v>1</v>
      </c>
    </row>
    <row r="299" spans="1:16" s="48" customFormat="1">
      <c r="A299" s="96" t="s">
        <v>82</v>
      </c>
      <c r="B299" s="99" t="s">
        <v>740</v>
      </c>
      <c r="C299" s="99" t="s">
        <v>48</v>
      </c>
      <c r="D299" s="99" t="s">
        <v>77</v>
      </c>
      <c r="E299" s="96" t="s">
        <v>99</v>
      </c>
      <c r="F299" s="101" t="s">
        <v>850</v>
      </c>
      <c r="G299" s="97">
        <v>21600</v>
      </c>
      <c r="H299" s="97">
        <v>20116.57</v>
      </c>
      <c r="I299" s="97">
        <v>329.09</v>
      </c>
      <c r="J299" s="97">
        <v>19763.919999999998</v>
      </c>
      <c r="K299" s="97">
        <v>16185.94</v>
      </c>
      <c r="L299" s="97">
        <v>3577.98</v>
      </c>
      <c r="M299" s="98">
        <v>0.81899999999999995</v>
      </c>
      <c r="N299" s="99" t="s">
        <v>44</v>
      </c>
      <c r="O299" s="99" t="s">
        <v>119</v>
      </c>
      <c r="P299" s="85"/>
    </row>
    <row r="300" spans="1:16" s="48" customFormat="1">
      <c r="A300" s="96" t="s">
        <v>428</v>
      </c>
      <c r="B300" s="99" t="s">
        <v>741</v>
      </c>
      <c r="C300" s="99" t="s">
        <v>48</v>
      </c>
      <c r="D300" s="99" t="s">
        <v>267</v>
      </c>
      <c r="E300" s="96" t="s">
        <v>99</v>
      </c>
      <c r="F300" s="101" t="s">
        <v>852</v>
      </c>
      <c r="G300" s="97">
        <v>110400</v>
      </c>
      <c r="H300" s="97">
        <v>100316.04</v>
      </c>
      <c r="I300" s="97">
        <v>806.24</v>
      </c>
      <c r="J300" s="97">
        <v>97980.479999999996</v>
      </c>
      <c r="K300" s="97">
        <v>47719.26</v>
      </c>
      <c r="L300" s="97">
        <v>50261.23</v>
      </c>
      <c r="M300" s="98">
        <v>0.48699999999999999</v>
      </c>
      <c r="N300" s="99" t="s">
        <v>44</v>
      </c>
      <c r="O300" s="99" t="s">
        <v>427</v>
      </c>
      <c r="P300" s="85">
        <v>1</v>
      </c>
    </row>
    <row r="301" spans="1:16" s="48" customFormat="1">
      <c r="A301" s="96" t="s">
        <v>441</v>
      </c>
      <c r="B301" s="99" t="s">
        <v>742</v>
      </c>
      <c r="C301" s="99" t="s">
        <v>48</v>
      </c>
      <c r="D301" s="99" t="s">
        <v>267</v>
      </c>
      <c r="E301" s="96" t="s">
        <v>99</v>
      </c>
      <c r="F301" s="101" t="s">
        <v>853</v>
      </c>
      <c r="G301" s="97">
        <v>384000</v>
      </c>
      <c r="H301" s="97">
        <v>344547.07</v>
      </c>
      <c r="I301" s="97">
        <v>1805.88</v>
      </c>
      <c r="J301" s="97">
        <v>337473.49</v>
      </c>
      <c r="K301" s="97">
        <v>154621.71</v>
      </c>
      <c r="L301" s="97">
        <v>182851.78</v>
      </c>
      <c r="M301" s="98">
        <v>0.45800000000000002</v>
      </c>
      <c r="N301" s="99" t="s">
        <v>41</v>
      </c>
      <c r="O301" s="99" t="s">
        <v>439</v>
      </c>
      <c r="P301" s="85">
        <v>1</v>
      </c>
    </row>
    <row r="302" spans="1:16" s="48" customFormat="1">
      <c r="A302" s="96" t="s">
        <v>458</v>
      </c>
      <c r="B302" s="99" t="s">
        <v>743</v>
      </c>
      <c r="C302" s="99" t="s">
        <v>48</v>
      </c>
      <c r="D302" s="99" t="s">
        <v>267</v>
      </c>
      <c r="E302" s="96" t="s">
        <v>99</v>
      </c>
      <c r="F302" s="101" t="s">
        <v>853</v>
      </c>
      <c r="G302" s="97">
        <v>384000</v>
      </c>
      <c r="H302" s="97">
        <v>344547.07</v>
      </c>
      <c r="I302" s="97">
        <v>1805.88</v>
      </c>
      <c r="J302" s="97">
        <v>337473.49</v>
      </c>
      <c r="K302" s="97">
        <v>206782.63</v>
      </c>
      <c r="L302" s="97">
        <v>130690.86</v>
      </c>
      <c r="M302" s="98">
        <v>0.61299999999999999</v>
      </c>
      <c r="N302" s="99" t="s">
        <v>41</v>
      </c>
      <c r="O302" s="99" t="s">
        <v>455</v>
      </c>
      <c r="P302" s="85">
        <v>1</v>
      </c>
    </row>
    <row r="303" spans="1:16" s="48" customFormat="1">
      <c r="A303" s="96" t="s">
        <v>465</v>
      </c>
      <c r="B303" s="99" t="s">
        <v>744</v>
      </c>
      <c r="C303" s="99" t="s">
        <v>48</v>
      </c>
      <c r="D303" s="99" t="s">
        <v>267</v>
      </c>
      <c r="E303" s="96" t="s">
        <v>99</v>
      </c>
      <c r="F303" s="101" t="s">
        <v>853</v>
      </c>
      <c r="G303" s="97">
        <v>384000</v>
      </c>
      <c r="H303" s="97">
        <v>344547.07</v>
      </c>
      <c r="I303" s="97">
        <v>269.60000000000002</v>
      </c>
      <c r="J303" s="97">
        <v>339009.77</v>
      </c>
      <c r="K303" s="97">
        <v>209953.77</v>
      </c>
      <c r="L303" s="97">
        <v>129056</v>
      </c>
      <c r="M303" s="98">
        <v>0.61899999999999999</v>
      </c>
      <c r="N303" s="99" t="s">
        <v>41</v>
      </c>
      <c r="O303" s="99" t="s">
        <v>460</v>
      </c>
      <c r="P303" s="85">
        <v>1</v>
      </c>
    </row>
    <row r="304" spans="1:16" s="48" customFormat="1">
      <c r="A304" s="96" t="s">
        <v>459</v>
      </c>
      <c r="B304" s="99" t="s">
        <v>745</v>
      </c>
      <c r="C304" s="99" t="s">
        <v>48</v>
      </c>
      <c r="D304" s="99" t="s">
        <v>267</v>
      </c>
      <c r="E304" s="96" t="s">
        <v>99</v>
      </c>
      <c r="F304" s="101" t="s">
        <v>853</v>
      </c>
      <c r="G304" s="97">
        <v>384000</v>
      </c>
      <c r="H304" s="97">
        <v>344547.07</v>
      </c>
      <c r="I304" s="97">
        <v>1805.88</v>
      </c>
      <c r="J304" s="97">
        <v>337473.49</v>
      </c>
      <c r="K304" s="97">
        <v>187489.81</v>
      </c>
      <c r="L304" s="97">
        <v>149983.67000000001</v>
      </c>
      <c r="M304" s="98">
        <v>0.55600000000000005</v>
      </c>
      <c r="N304" s="99" t="s">
        <v>41</v>
      </c>
      <c r="O304" s="99" t="s">
        <v>455</v>
      </c>
      <c r="P304" s="85">
        <v>1</v>
      </c>
    </row>
    <row r="305" spans="1:16" s="48" customFormat="1">
      <c r="A305" s="96" t="s">
        <v>466</v>
      </c>
      <c r="B305" s="99" t="s">
        <v>746</v>
      </c>
      <c r="C305" s="99" t="s">
        <v>48</v>
      </c>
      <c r="D305" s="99" t="s">
        <v>267</v>
      </c>
      <c r="E305" s="96" t="s">
        <v>99</v>
      </c>
      <c r="F305" s="101" t="s">
        <v>852</v>
      </c>
      <c r="G305" s="97">
        <v>115200</v>
      </c>
      <c r="H305" s="97">
        <v>104677.62</v>
      </c>
      <c r="I305" s="97">
        <v>1494.92</v>
      </c>
      <c r="J305" s="97">
        <v>102309.98</v>
      </c>
      <c r="K305" s="97">
        <v>58063.31</v>
      </c>
      <c r="L305" s="97">
        <v>44246.67</v>
      </c>
      <c r="M305" s="98">
        <v>0.56799999999999995</v>
      </c>
      <c r="N305" s="99" t="s">
        <v>44</v>
      </c>
      <c r="O305" s="99" t="s">
        <v>460</v>
      </c>
      <c r="P305" s="85">
        <v>1</v>
      </c>
    </row>
    <row r="306" spans="1:16" s="48" customFormat="1">
      <c r="A306" s="96" t="s">
        <v>467</v>
      </c>
      <c r="B306" s="99" t="s">
        <v>747</v>
      </c>
      <c r="C306" s="99" t="s">
        <v>48</v>
      </c>
      <c r="D306" s="99" t="s">
        <v>267</v>
      </c>
      <c r="E306" s="96" t="s">
        <v>99</v>
      </c>
      <c r="F306" s="101" t="s">
        <v>852</v>
      </c>
      <c r="G306" s="97">
        <v>79200.009999999995</v>
      </c>
      <c r="H306" s="97">
        <v>71965.86</v>
      </c>
      <c r="I306" s="97">
        <v>1456.67</v>
      </c>
      <c r="J306" s="97">
        <v>70124.740000000005</v>
      </c>
      <c r="K306" s="97">
        <v>46440.160000000003</v>
      </c>
      <c r="L306" s="97">
        <v>23684.57</v>
      </c>
      <c r="M306" s="98">
        <v>0.66200000000000003</v>
      </c>
      <c r="N306" s="99" t="s">
        <v>44</v>
      </c>
      <c r="O306" s="99" t="s">
        <v>460</v>
      </c>
      <c r="P306" s="85">
        <v>1</v>
      </c>
    </row>
    <row r="307" spans="1:16" s="48" customFormat="1">
      <c r="A307" s="96" t="s">
        <v>504</v>
      </c>
      <c r="B307" s="99" t="s">
        <v>505</v>
      </c>
      <c r="C307" s="99" t="s">
        <v>48</v>
      </c>
      <c r="D307" s="99" t="s">
        <v>267</v>
      </c>
      <c r="E307" s="96" t="s">
        <v>99</v>
      </c>
      <c r="F307" s="101" t="s">
        <v>852</v>
      </c>
      <c r="G307" s="97">
        <v>100800</v>
      </c>
      <c r="H307" s="97">
        <v>91592.91</v>
      </c>
      <c r="I307" s="97">
        <v>1488.01</v>
      </c>
      <c r="J307" s="97">
        <v>89434.17</v>
      </c>
      <c r="K307" s="97">
        <v>17937.86</v>
      </c>
      <c r="L307" s="97">
        <v>71496.31</v>
      </c>
      <c r="M307" s="98">
        <v>0.20100000000000001</v>
      </c>
      <c r="N307" s="99" t="s">
        <v>44</v>
      </c>
      <c r="O307" s="99" t="s">
        <v>493</v>
      </c>
      <c r="P307" s="85">
        <v>1</v>
      </c>
    </row>
    <row r="308" spans="1:16" s="48" customFormat="1">
      <c r="A308" s="96" t="s">
        <v>503</v>
      </c>
      <c r="B308" s="99" t="s">
        <v>748</v>
      </c>
      <c r="C308" s="99" t="s">
        <v>48</v>
      </c>
      <c r="D308" s="99" t="s">
        <v>267</v>
      </c>
      <c r="E308" s="96" t="s">
        <v>99</v>
      </c>
      <c r="F308" s="101" t="s">
        <v>852</v>
      </c>
      <c r="G308" s="97">
        <v>483600</v>
      </c>
      <c r="H308" s="97">
        <v>437238.74</v>
      </c>
      <c r="I308" s="97">
        <v>3687.71</v>
      </c>
      <c r="J308" s="97">
        <v>428845.95</v>
      </c>
      <c r="K308" s="97">
        <v>366169</v>
      </c>
      <c r="L308" s="97">
        <v>62676.95</v>
      </c>
      <c r="M308" s="98">
        <v>0.85399999999999998</v>
      </c>
      <c r="N308" s="99" t="s">
        <v>41</v>
      </c>
      <c r="O308" s="99" t="s">
        <v>493</v>
      </c>
      <c r="P308" s="85">
        <v>1</v>
      </c>
    </row>
    <row r="309" spans="1:16" s="48" customFormat="1">
      <c r="A309" s="96" t="s">
        <v>520</v>
      </c>
      <c r="B309" s="99" t="s">
        <v>521</v>
      </c>
      <c r="C309" s="99" t="s">
        <v>48</v>
      </c>
      <c r="D309" s="99" t="s">
        <v>267</v>
      </c>
      <c r="E309" s="96" t="s">
        <v>99</v>
      </c>
      <c r="F309" s="101" t="s">
        <v>852</v>
      </c>
      <c r="G309" s="97">
        <v>470400</v>
      </c>
      <c r="H309" s="97">
        <v>423055.29</v>
      </c>
      <c r="I309" s="97">
        <v>3994.71</v>
      </c>
      <c r="J309" s="97">
        <v>415360.44</v>
      </c>
      <c r="K309" s="97">
        <v>113390.48</v>
      </c>
      <c r="L309" s="97">
        <v>301969.96000000002</v>
      </c>
      <c r="M309" s="98">
        <v>0.27300000000000002</v>
      </c>
      <c r="N309" s="99" t="s">
        <v>41</v>
      </c>
      <c r="O309" s="99" t="s">
        <v>522</v>
      </c>
      <c r="P309" s="85">
        <v>1</v>
      </c>
    </row>
    <row r="310" spans="1:16" s="48" customFormat="1">
      <c r="A310" s="96" t="s">
        <v>532</v>
      </c>
      <c r="B310" s="99" t="s">
        <v>531</v>
      </c>
      <c r="C310" s="99" t="s">
        <v>48</v>
      </c>
      <c r="D310" s="99" t="s">
        <v>267</v>
      </c>
      <c r="E310" s="96" t="s">
        <v>99</v>
      </c>
      <c r="F310" s="101" t="s">
        <v>852</v>
      </c>
      <c r="G310" s="97">
        <v>470400</v>
      </c>
      <c r="H310" s="97">
        <v>423055.28</v>
      </c>
      <c r="I310" s="97">
        <v>2379.64</v>
      </c>
      <c r="J310" s="97">
        <v>416975.51</v>
      </c>
      <c r="K310" s="97">
        <v>156331.73000000001</v>
      </c>
      <c r="L310" s="97">
        <v>260643.79</v>
      </c>
      <c r="M310" s="98">
        <v>0.375</v>
      </c>
      <c r="N310" s="99" t="s">
        <v>41</v>
      </c>
      <c r="O310" s="99" t="s">
        <v>536</v>
      </c>
      <c r="P310" s="85">
        <v>1</v>
      </c>
    </row>
    <row r="311" spans="1:16" s="48" customFormat="1">
      <c r="A311" s="96" t="s">
        <v>543</v>
      </c>
      <c r="B311" s="99" t="s">
        <v>544</v>
      </c>
      <c r="C311" s="99" t="s">
        <v>48</v>
      </c>
      <c r="D311" s="99" t="s">
        <v>267</v>
      </c>
      <c r="E311" s="96" t="s">
        <v>99</v>
      </c>
      <c r="F311" s="101" t="s">
        <v>852</v>
      </c>
      <c r="G311" s="97">
        <v>158400</v>
      </c>
      <c r="H311" s="97">
        <v>143931.71</v>
      </c>
      <c r="I311" s="97">
        <v>1549</v>
      </c>
      <c r="J311" s="97">
        <v>140932.44</v>
      </c>
      <c r="K311" s="97">
        <v>80608.789999999994</v>
      </c>
      <c r="L311" s="97">
        <v>60323.64</v>
      </c>
      <c r="M311" s="98">
        <v>0.57199999999999995</v>
      </c>
      <c r="N311" s="99" t="s">
        <v>44</v>
      </c>
      <c r="O311" s="99" t="s">
        <v>542</v>
      </c>
      <c r="P311" s="85">
        <v>1</v>
      </c>
    </row>
    <row r="312" spans="1:16" s="48" customFormat="1">
      <c r="A312" s="96" t="s">
        <v>809</v>
      </c>
      <c r="B312" s="99" t="s">
        <v>810</v>
      </c>
      <c r="C312" s="99" t="s">
        <v>48</v>
      </c>
      <c r="D312" s="99" t="s">
        <v>806</v>
      </c>
      <c r="E312" s="96" t="s">
        <v>99</v>
      </c>
      <c r="F312" s="101" t="s">
        <v>854</v>
      </c>
      <c r="G312" s="97">
        <v>296832</v>
      </c>
      <c r="H312" s="97">
        <v>262134.58</v>
      </c>
      <c r="I312" s="97">
        <v>213.32</v>
      </c>
      <c r="J312" s="97">
        <v>261623.58</v>
      </c>
      <c r="K312" s="97">
        <v>198588.53</v>
      </c>
      <c r="L312" s="97">
        <v>63035.05</v>
      </c>
      <c r="M312" s="98">
        <v>0.75900000000000001</v>
      </c>
      <c r="N312" s="99" t="s">
        <v>41</v>
      </c>
      <c r="O312" s="99" t="s">
        <v>799</v>
      </c>
      <c r="P312" s="85">
        <v>1</v>
      </c>
    </row>
    <row r="313" spans="1:16" s="48" customFormat="1">
      <c r="A313" s="96" t="s">
        <v>811</v>
      </c>
      <c r="B313" s="99" t="s">
        <v>812</v>
      </c>
      <c r="C313" s="99" t="s">
        <v>48</v>
      </c>
      <c r="D313" s="99" t="s">
        <v>806</v>
      </c>
      <c r="E313" s="96" t="s">
        <v>99</v>
      </c>
      <c r="F313" s="101" t="s">
        <v>854</v>
      </c>
      <c r="G313" s="97">
        <v>409600</v>
      </c>
      <c r="H313" s="97">
        <v>377161.05</v>
      </c>
      <c r="I313" s="97">
        <v>212.44</v>
      </c>
      <c r="J313" s="97">
        <v>373807.7</v>
      </c>
      <c r="K313" s="97">
        <v>153689.91</v>
      </c>
      <c r="L313" s="97">
        <v>220117.78</v>
      </c>
      <c r="M313" s="98">
        <v>0.41099999999999998</v>
      </c>
      <c r="N313" s="99" t="s">
        <v>41</v>
      </c>
      <c r="O313" s="99" t="s">
        <v>799</v>
      </c>
      <c r="P313" s="85">
        <v>1</v>
      </c>
    </row>
    <row r="314" spans="1:16" s="48" customFormat="1">
      <c r="A314" s="96" t="s">
        <v>839</v>
      </c>
      <c r="B314" s="96" t="s">
        <v>843</v>
      </c>
      <c r="C314" s="96" t="s">
        <v>48</v>
      </c>
      <c r="D314" s="99" t="s">
        <v>806</v>
      </c>
      <c r="E314" s="96" t="s">
        <v>99</v>
      </c>
      <c r="F314" s="101" t="s">
        <v>854</v>
      </c>
      <c r="G314" s="97">
        <v>307200</v>
      </c>
      <c r="H314" s="97">
        <v>280019.43</v>
      </c>
      <c r="I314" s="97">
        <v>214.17</v>
      </c>
      <c r="J314" s="97">
        <v>279232.45</v>
      </c>
      <c r="K314" s="97">
        <v>12300.39</v>
      </c>
      <c r="L314" s="97">
        <v>266932.06</v>
      </c>
      <c r="M314" s="98">
        <v>4.3999999999999997E-2</v>
      </c>
      <c r="N314" s="99" t="s">
        <v>41</v>
      </c>
      <c r="O314" s="99" t="s">
        <v>823</v>
      </c>
      <c r="P314" s="85">
        <v>1</v>
      </c>
    </row>
    <row r="315" spans="1:16" s="48" customFormat="1">
      <c r="A315" s="96" t="s">
        <v>838</v>
      </c>
      <c r="B315" s="96" t="s">
        <v>842</v>
      </c>
      <c r="C315" s="96" t="s">
        <v>48</v>
      </c>
      <c r="D315" s="99" t="s">
        <v>806</v>
      </c>
      <c r="E315" s="96" t="s">
        <v>99</v>
      </c>
      <c r="F315" s="101" t="s">
        <v>854</v>
      </c>
      <c r="G315" s="97">
        <v>595200</v>
      </c>
      <c r="H315" s="97">
        <v>548295.30000000005</v>
      </c>
      <c r="I315" s="97">
        <v>216.19</v>
      </c>
      <c r="J315" s="97">
        <v>543379.01</v>
      </c>
      <c r="K315" s="97">
        <v>77818.87</v>
      </c>
      <c r="L315" s="97">
        <v>465560.14</v>
      </c>
      <c r="M315" s="98">
        <v>0.14299999999999999</v>
      </c>
      <c r="N315" s="99" t="s">
        <v>41</v>
      </c>
      <c r="O315" s="99" t="s">
        <v>823</v>
      </c>
      <c r="P315" s="85">
        <v>1</v>
      </c>
    </row>
    <row r="316" spans="1:16" s="48" customFormat="1">
      <c r="A316" s="96" t="s">
        <v>840</v>
      </c>
      <c r="B316" s="96" t="s">
        <v>844</v>
      </c>
      <c r="C316" s="96" t="s">
        <v>48</v>
      </c>
      <c r="D316" s="99" t="s">
        <v>806</v>
      </c>
      <c r="E316" s="96" t="s">
        <v>99</v>
      </c>
      <c r="F316" s="101" t="s">
        <v>854</v>
      </c>
      <c r="G316" s="97">
        <v>595200</v>
      </c>
      <c r="H316" s="97">
        <v>548295.30000000005</v>
      </c>
      <c r="I316" s="97">
        <v>216.19</v>
      </c>
      <c r="J316" s="97">
        <v>543379.01</v>
      </c>
      <c r="K316" s="97">
        <v>64751.61</v>
      </c>
      <c r="L316" s="97">
        <v>478627.4</v>
      </c>
      <c r="M316" s="98">
        <v>0.11899999999999999</v>
      </c>
      <c r="N316" s="99" t="s">
        <v>41</v>
      </c>
      <c r="O316" s="99" t="s">
        <v>823</v>
      </c>
      <c r="P316" s="85">
        <v>1</v>
      </c>
    </row>
    <row r="317" spans="1:16" s="48" customFormat="1">
      <c r="A317" s="96" t="s">
        <v>841</v>
      </c>
      <c r="B317" s="96" t="s">
        <v>845</v>
      </c>
      <c r="C317" s="96" t="s">
        <v>48</v>
      </c>
      <c r="D317" s="99" t="s">
        <v>806</v>
      </c>
      <c r="E317" s="96" t="s">
        <v>99</v>
      </c>
      <c r="F317" s="101" t="s">
        <v>854</v>
      </c>
      <c r="G317" s="97">
        <v>584832</v>
      </c>
      <c r="H317" s="97">
        <v>530410.43999999994</v>
      </c>
      <c r="I317" s="97">
        <v>216.48</v>
      </c>
      <c r="J317" s="97">
        <v>525769.01</v>
      </c>
      <c r="K317" s="97">
        <v>162008.19</v>
      </c>
      <c r="L317" s="97">
        <v>363760.82</v>
      </c>
      <c r="M317" s="98">
        <v>0.308</v>
      </c>
      <c r="N317" s="99" t="s">
        <v>41</v>
      </c>
      <c r="O317" s="99" t="s">
        <v>823</v>
      </c>
      <c r="P317" s="85">
        <v>1</v>
      </c>
    </row>
    <row r="318" spans="1:16" s="48" customFormat="1">
      <c r="A318" s="96" t="s">
        <v>818</v>
      </c>
      <c r="B318" s="99" t="s">
        <v>819</v>
      </c>
      <c r="C318" s="99" t="s">
        <v>48</v>
      </c>
      <c r="D318" s="99" t="s">
        <v>806</v>
      </c>
      <c r="E318" s="96" t="s">
        <v>99</v>
      </c>
      <c r="F318" s="101" t="s">
        <v>854</v>
      </c>
      <c r="G318" s="97">
        <v>584832</v>
      </c>
      <c r="H318" s="97">
        <v>530410.43999999994</v>
      </c>
      <c r="I318" s="97">
        <v>216.48</v>
      </c>
      <c r="J318" s="97">
        <v>525769.01</v>
      </c>
      <c r="K318" s="97">
        <v>129067.52</v>
      </c>
      <c r="L318" s="97">
        <v>396701.49</v>
      </c>
      <c r="M318" s="98">
        <v>0.245</v>
      </c>
      <c r="N318" s="99" t="s">
        <v>41</v>
      </c>
      <c r="O318" s="99" t="s">
        <v>817</v>
      </c>
      <c r="P318" s="85">
        <v>1</v>
      </c>
    </row>
    <row r="319" spans="1:16" s="48" customFormat="1">
      <c r="A319" s="96" t="s">
        <v>872</v>
      </c>
      <c r="B319" s="99" t="s">
        <v>873</v>
      </c>
      <c r="C319" s="99" t="s">
        <v>48</v>
      </c>
      <c r="D319" s="99" t="s">
        <v>806</v>
      </c>
      <c r="E319" s="96" t="s">
        <v>99</v>
      </c>
      <c r="F319" s="101" t="s">
        <v>852</v>
      </c>
      <c r="G319" s="97">
        <v>271200</v>
      </c>
      <c r="H319" s="97">
        <v>246428.55</v>
      </c>
      <c r="I319" s="97">
        <v>140</v>
      </c>
      <c r="J319" s="97">
        <v>246266.05</v>
      </c>
      <c r="K319" s="97">
        <v>2196.98</v>
      </c>
      <c r="L319" s="97">
        <v>244069.07</v>
      </c>
      <c r="M319" s="98">
        <v>8.9999999999999993E-3</v>
      </c>
      <c r="N319" s="99" t="s">
        <v>41</v>
      </c>
      <c r="O319" s="99" t="s">
        <v>874</v>
      </c>
      <c r="P319" s="85">
        <v>1</v>
      </c>
    </row>
    <row r="320" spans="1:16" s="48" customFormat="1">
      <c r="A320" s="96" t="s">
        <v>95</v>
      </c>
      <c r="B320" s="99" t="s">
        <v>749</v>
      </c>
      <c r="C320" s="99" t="s">
        <v>48</v>
      </c>
      <c r="D320" s="99" t="s">
        <v>75</v>
      </c>
      <c r="E320" s="96" t="s">
        <v>98</v>
      </c>
      <c r="F320" s="146" t="s">
        <v>450</v>
      </c>
      <c r="G320" s="147">
        <v>40880</v>
      </c>
      <c r="H320" s="97">
        <v>37489.53</v>
      </c>
      <c r="I320" s="97">
        <v>0</v>
      </c>
      <c r="J320" s="97">
        <v>37489.51</v>
      </c>
      <c r="K320" s="97">
        <v>1413.47</v>
      </c>
      <c r="L320" s="97">
        <v>36076.04</v>
      </c>
      <c r="M320" s="98">
        <v>3.7999999999999999E-2</v>
      </c>
      <c r="N320" s="99" t="s">
        <v>41</v>
      </c>
      <c r="O320" s="96" t="s">
        <v>165</v>
      </c>
      <c r="P320" s="77">
        <v>1</v>
      </c>
    </row>
    <row r="321" spans="1:16" s="48" customFormat="1">
      <c r="A321" s="99" t="s">
        <v>95</v>
      </c>
      <c r="B321" s="99" t="s">
        <v>749</v>
      </c>
      <c r="C321" s="99" t="s">
        <v>48</v>
      </c>
      <c r="D321" s="99" t="s">
        <v>75</v>
      </c>
      <c r="E321" s="96" t="s">
        <v>99</v>
      </c>
      <c r="F321" s="146" t="s">
        <v>450</v>
      </c>
      <c r="G321" s="147">
        <v>16800</v>
      </c>
      <c r="H321" s="97">
        <v>15030.63</v>
      </c>
      <c r="I321" s="97">
        <v>0</v>
      </c>
      <c r="J321" s="97">
        <v>15030.61</v>
      </c>
      <c r="K321" s="97">
        <v>3312.03</v>
      </c>
      <c r="L321" s="97">
        <v>11718.59</v>
      </c>
      <c r="M321" s="98">
        <v>0.22</v>
      </c>
      <c r="N321" s="99" t="s">
        <v>41</v>
      </c>
      <c r="O321" s="96" t="s">
        <v>165</v>
      </c>
      <c r="P321" s="85"/>
    </row>
    <row r="322" spans="1:16" s="48" customFormat="1">
      <c r="A322" s="96" t="s">
        <v>96</v>
      </c>
      <c r="B322" s="99" t="s">
        <v>750</v>
      </c>
      <c r="C322" s="99" t="s">
        <v>48</v>
      </c>
      <c r="D322" s="99" t="s">
        <v>75</v>
      </c>
      <c r="E322" s="96" t="s">
        <v>98</v>
      </c>
      <c r="F322" s="146" t="s">
        <v>450</v>
      </c>
      <c r="G322" s="147">
        <v>38544</v>
      </c>
      <c r="H322" s="97">
        <v>35347.279999999999</v>
      </c>
      <c r="I322" s="97">
        <v>0</v>
      </c>
      <c r="J322" s="97">
        <v>35347.25</v>
      </c>
      <c r="K322" s="97">
        <v>1769.93</v>
      </c>
      <c r="L322" s="97">
        <v>33577.33</v>
      </c>
      <c r="M322" s="98">
        <v>0.05</v>
      </c>
      <c r="N322" s="99" t="s">
        <v>41</v>
      </c>
      <c r="O322" s="96" t="s">
        <v>165</v>
      </c>
      <c r="P322" s="77">
        <v>1</v>
      </c>
    </row>
    <row r="323" spans="1:16" s="48" customFormat="1">
      <c r="A323" s="99" t="s">
        <v>96</v>
      </c>
      <c r="B323" s="99" t="s">
        <v>750</v>
      </c>
      <c r="C323" s="99" t="s">
        <v>48</v>
      </c>
      <c r="D323" s="99" t="s">
        <v>75</v>
      </c>
      <c r="E323" s="96" t="s">
        <v>99</v>
      </c>
      <c r="F323" s="146" t="s">
        <v>450</v>
      </c>
      <c r="G323" s="147">
        <v>28800</v>
      </c>
      <c r="H323" s="97">
        <v>25766.799999999999</v>
      </c>
      <c r="I323" s="97">
        <v>0</v>
      </c>
      <c r="J323" s="97">
        <v>25766.77</v>
      </c>
      <c r="K323" s="97">
        <v>4247.74</v>
      </c>
      <c r="L323" s="97">
        <v>21519.03</v>
      </c>
      <c r="M323" s="98">
        <v>0.16500000000000001</v>
      </c>
      <c r="N323" s="99" t="s">
        <v>41</v>
      </c>
      <c r="O323" s="96" t="s">
        <v>165</v>
      </c>
      <c r="P323" s="85"/>
    </row>
    <row r="324" spans="1:16" s="48" customFormat="1">
      <c r="A324" s="99" t="s">
        <v>187</v>
      </c>
      <c r="B324" s="99" t="s">
        <v>751</v>
      </c>
      <c r="C324" s="99" t="s">
        <v>48</v>
      </c>
      <c r="D324" s="99" t="s">
        <v>75</v>
      </c>
      <c r="E324" s="96" t="s">
        <v>99</v>
      </c>
      <c r="F324" s="146" t="s">
        <v>450</v>
      </c>
      <c r="G324" s="147">
        <v>172800</v>
      </c>
      <c r="H324" s="97">
        <v>154600.79</v>
      </c>
      <c r="I324" s="97">
        <v>0</v>
      </c>
      <c r="J324" s="97">
        <v>154600.57</v>
      </c>
      <c r="K324" s="97">
        <v>84696.55</v>
      </c>
      <c r="L324" s="97">
        <v>69904.02</v>
      </c>
      <c r="M324" s="98">
        <v>0.54800000000000004</v>
      </c>
      <c r="N324" s="99" t="s">
        <v>41</v>
      </c>
      <c r="O324" s="96" t="s">
        <v>189</v>
      </c>
      <c r="P324" s="85">
        <v>1</v>
      </c>
    </row>
    <row r="325" spans="1:16" s="48" customFormat="1">
      <c r="A325" s="99" t="s">
        <v>188</v>
      </c>
      <c r="B325" s="99" t="s">
        <v>752</v>
      </c>
      <c r="C325" s="99" t="s">
        <v>48</v>
      </c>
      <c r="D325" s="99" t="s">
        <v>75</v>
      </c>
      <c r="E325" s="96" t="s">
        <v>99</v>
      </c>
      <c r="F325" s="146" t="s">
        <v>450</v>
      </c>
      <c r="G325" s="147">
        <v>223200</v>
      </c>
      <c r="H325" s="97">
        <v>199692.69</v>
      </c>
      <c r="I325" s="97">
        <v>0</v>
      </c>
      <c r="J325" s="97">
        <v>199692.39</v>
      </c>
      <c r="K325" s="97">
        <v>191297.82</v>
      </c>
      <c r="L325" s="97">
        <v>8394.57</v>
      </c>
      <c r="M325" s="98">
        <v>0.95799999999999996</v>
      </c>
      <c r="N325" s="99" t="s">
        <v>41</v>
      </c>
      <c r="O325" s="96" t="s">
        <v>189</v>
      </c>
      <c r="P325" s="85">
        <v>1</v>
      </c>
    </row>
    <row r="326" spans="1:16" s="48" customFormat="1">
      <c r="A326" s="99" t="s">
        <v>242</v>
      </c>
      <c r="B326" s="99" t="s">
        <v>753</v>
      </c>
      <c r="C326" s="99" t="s">
        <v>48</v>
      </c>
      <c r="D326" s="99" t="s">
        <v>75</v>
      </c>
      <c r="E326" s="96" t="s">
        <v>99</v>
      </c>
      <c r="F326" s="146" t="s">
        <v>450</v>
      </c>
      <c r="G326" s="147">
        <v>151200</v>
      </c>
      <c r="H326" s="97">
        <v>137863.89000000001</v>
      </c>
      <c r="I326" s="97">
        <v>0</v>
      </c>
      <c r="J326" s="97">
        <v>137863.82999999999</v>
      </c>
      <c r="K326" s="97">
        <v>82544.23</v>
      </c>
      <c r="L326" s="97">
        <v>55319.6</v>
      </c>
      <c r="M326" s="98">
        <v>0.59899999999999998</v>
      </c>
      <c r="N326" s="99" t="s">
        <v>41</v>
      </c>
      <c r="O326" s="96" t="s">
        <v>239</v>
      </c>
      <c r="P326" s="85">
        <v>1</v>
      </c>
    </row>
    <row r="327" spans="1:16" s="48" customFormat="1">
      <c r="A327" s="99" t="s">
        <v>246</v>
      </c>
      <c r="B327" s="99" t="s">
        <v>754</v>
      </c>
      <c r="C327" s="99" t="s">
        <v>48</v>
      </c>
      <c r="D327" s="99" t="s">
        <v>75</v>
      </c>
      <c r="E327" s="96" t="s">
        <v>99</v>
      </c>
      <c r="F327" s="146" t="s">
        <v>450</v>
      </c>
      <c r="G327" s="147">
        <v>150400</v>
      </c>
      <c r="H327" s="97">
        <v>139394.89000000001</v>
      </c>
      <c r="I327" s="97">
        <v>0</v>
      </c>
      <c r="J327" s="97">
        <v>122216.98</v>
      </c>
      <c r="K327" s="97">
        <v>61248.46</v>
      </c>
      <c r="L327" s="97">
        <v>60968.53</v>
      </c>
      <c r="M327" s="98">
        <v>0.501</v>
      </c>
      <c r="N327" s="99" t="s">
        <v>41</v>
      </c>
      <c r="O327" s="96" t="s">
        <v>247</v>
      </c>
      <c r="P327" s="85">
        <v>1</v>
      </c>
    </row>
    <row r="328" spans="1:16" s="48" customFormat="1">
      <c r="A328" s="99" t="s">
        <v>394</v>
      </c>
      <c r="B328" s="99" t="s">
        <v>755</v>
      </c>
      <c r="C328" s="99" t="s">
        <v>48</v>
      </c>
      <c r="D328" s="99" t="s">
        <v>387</v>
      </c>
      <c r="E328" s="96" t="s">
        <v>99</v>
      </c>
      <c r="F328" s="146" t="s">
        <v>858</v>
      </c>
      <c r="G328" s="147">
        <v>172800</v>
      </c>
      <c r="H328" s="97">
        <v>154600.79</v>
      </c>
      <c r="I328" s="97">
        <v>0</v>
      </c>
      <c r="J328" s="97">
        <v>154590.17000000001</v>
      </c>
      <c r="K328" s="97">
        <v>89765.25</v>
      </c>
      <c r="L328" s="97">
        <v>64824.92</v>
      </c>
      <c r="M328" s="98">
        <v>0.58099999999999996</v>
      </c>
      <c r="N328" s="99" t="s">
        <v>41</v>
      </c>
      <c r="O328" s="96" t="s">
        <v>374</v>
      </c>
      <c r="P328" s="85">
        <v>1</v>
      </c>
    </row>
    <row r="329" spans="1:16" s="48" customFormat="1">
      <c r="A329" s="99" t="s">
        <v>395</v>
      </c>
      <c r="B329" s="99" t="s">
        <v>756</v>
      </c>
      <c r="C329" s="99" t="s">
        <v>48</v>
      </c>
      <c r="D329" s="99" t="s">
        <v>387</v>
      </c>
      <c r="E329" s="96" t="s">
        <v>99</v>
      </c>
      <c r="F329" s="146" t="s">
        <v>858</v>
      </c>
      <c r="G329" s="147">
        <v>336000</v>
      </c>
      <c r="H329" s="97">
        <v>300612.65000000002</v>
      </c>
      <c r="I329" s="97">
        <v>0</v>
      </c>
      <c r="J329" s="97">
        <v>300601.84999999998</v>
      </c>
      <c r="K329" s="97">
        <v>192612.02</v>
      </c>
      <c r="L329" s="97">
        <v>107989.83</v>
      </c>
      <c r="M329" s="98">
        <v>0.64100000000000001</v>
      </c>
      <c r="N329" s="99" t="s">
        <v>41</v>
      </c>
      <c r="O329" s="96" t="s">
        <v>374</v>
      </c>
      <c r="P329" s="85">
        <v>1</v>
      </c>
    </row>
    <row r="330" spans="1:16" s="48" customFormat="1">
      <c r="A330" s="99" t="s">
        <v>405</v>
      </c>
      <c r="B330" s="99" t="s">
        <v>757</v>
      </c>
      <c r="C330" s="99" t="s">
        <v>48</v>
      </c>
      <c r="D330" s="99" t="s">
        <v>387</v>
      </c>
      <c r="E330" s="96" t="s">
        <v>99</v>
      </c>
      <c r="F330" s="146" t="s">
        <v>858</v>
      </c>
      <c r="G330" s="147">
        <v>211200</v>
      </c>
      <c r="H330" s="97">
        <v>206134.39</v>
      </c>
      <c r="I330" s="97">
        <v>0</v>
      </c>
      <c r="J330" s="97">
        <v>206134.13</v>
      </c>
      <c r="K330" s="97">
        <v>158879.10999999999</v>
      </c>
      <c r="L330" s="97">
        <v>47255.02</v>
      </c>
      <c r="M330" s="98">
        <v>0.77100000000000002</v>
      </c>
      <c r="N330" s="99" t="s">
        <v>41</v>
      </c>
      <c r="O330" s="96" t="s">
        <v>406</v>
      </c>
      <c r="P330" s="85">
        <v>1</v>
      </c>
    </row>
    <row r="331" spans="1:16" s="48" customFormat="1">
      <c r="A331" s="99" t="s">
        <v>431</v>
      </c>
      <c r="B331" s="99" t="s">
        <v>758</v>
      </c>
      <c r="C331" s="99" t="s">
        <v>48</v>
      </c>
      <c r="D331" s="99" t="s">
        <v>387</v>
      </c>
      <c r="E331" s="96" t="s">
        <v>99</v>
      </c>
      <c r="F331" s="146" t="s">
        <v>858</v>
      </c>
      <c r="G331" s="147">
        <v>302400</v>
      </c>
      <c r="H331" s="97">
        <v>270551.38</v>
      </c>
      <c r="I331" s="97">
        <v>0</v>
      </c>
      <c r="J331" s="97">
        <v>270551.03999999998</v>
      </c>
      <c r="K331" s="97">
        <v>150269.66</v>
      </c>
      <c r="L331" s="97">
        <v>120281.38</v>
      </c>
      <c r="M331" s="98">
        <v>0.55500000000000005</v>
      </c>
      <c r="N331" s="99" t="s">
        <v>41</v>
      </c>
      <c r="O331" s="96" t="s">
        <v>432</v>
      </c>
      <c r="P331" s="85">
        <v>1</v>
      </c>
    </row>
    <row r="332" spans="1:16" s="48" customFormat="1">
      <c r="A332" s="99" t="s">
        <v>518</v>
      </c>
      <c r="B332" s="99" t="s">
        <v>517</v>
      </c>
      <c r="C332" s="99" t="s">
        <v>48</v>
      </c>
      <c r="D332" s="99" t="s">
        <v>387</v>
      </c>
      <c r="E332" s="96" t="s">
        <v>99</v>
      </c>
      <c r="F332" s="146" t="s">
        <v>858</v>
      </c>
      <c r="G332" s="147">
        <v>277200</v>
      </c>
      <c r="H332" s="97">
        <v>270551.38</v>
      </c>
      <c r="I332" s="97">
        <v>0</v>
      </c>
      <c r="J332" s="97">
        <v>270551.03999999998</v>
      </c>
      <c r="K332" s="97">
        <v>129237.5</v>
      </c>
      <c r="L332" s="97">
        <v>141313.54</v>
      </c>
      <c r="M332" s="98">
        <v>0.47799999999999998</v>
      </c>
      <c r="N332" s="99" t="s">
        <v>41</v>
      </c>
      <c r="O332" s="96" t="s">
        <v>519</v>
      </c>
      <c r="P332" s="85">
        <v>1</v>
      </c>
    </row>
    <row r="333" spans="1:16" s="48" customFormat="1">
      <c r="A333" s="99" t="s">
        <v>524</v>
      </c>
      <c r="B333" s="99" t="s">
        <v>525</v>
      </c>
      <c r="C333" s="99" t="s">
        <v>48</v>
      </c>
      <c r="D333" s="99" t="s">
        <v>387</v>
      </c>
      <c r="E333" s="96" t="s">
        <v>99</v>
      </c>
      <c r="F333" s="146" t="s">
        <v>858</v>
      </c>
      <c r="G333" s="147">
        <v>184800</v>
      </c>
      <c r="H333" s="97">
        <v>180367.59</v>
      </c>
      <c r="I333" s="97">
        <v>0</v>
      </c>
      <c r="J333" s="97">
        <v>180367.35999999999</v>
      </c>
      <c r="K333" s="97">
        <v>91266.18</v>
      </c>
      <c r="L333" s="97">
        <v>89101.18</v>
      </c>
      <c r="M333" s="98">
        <v>0.50600000000000001</v>
      </c>
      <c r="N333" s="99" t="s">
        <v>41</v>
      </c>
      <c r="O333" s="96" t="s">
        <v>519</v>
      </c>
      <c r="P333" s="85">
        <v>1</v>
      </c>
    </row>
    <row r="334" spans="1:16" s="48" customFormat="1">
      <c r="A334" s="99" t="s">
        <v>820</v>
      </c>
      <c r="B334" s="99" t="s">
        <v>821</v>
      </c>
      <c r="C334" s="99" t="s">
        <v>48</v>
      </c>
      <c r="D334" s="99" t="s">
        <v>387</v>
      </c>
      <c r="E334" s="96" t="s">
        <v>99</v>
      </c>
      <c r="F334" s="146" t="s">
        <v>858</v>
      </c>
      <c r="G334" s="147">
        <v>413600</v>
      </c>
      <c r="H334" s="97">
        <v>403679.84</v>
      </c>
      <c r="I334" s="97">
        <v>0</v>
      </c>
      <c r="J334" s="97">
        <v>403678.59</v>
      </c>
      <c r="K334" s="97">
        <v>165060.32999999999</v>
      </c>
      <c r="L334" s="97">
        <v>238618.26</v>
      </c>
      <c r="M334" s="98">
        <v>0.40899999999999997</v>
      </c>
      <c r="N334" s="99" t="s">
        <v>41</v>
      </c>
      <c r="O334" s="96" t="s">
        <v>822</v>
      </c>
      <c r="P334" s="85">
        <v>1</v>
      </c>
    </row>
    <row r="335" spans="1:16" s="48" customFormat="1">
      <c r="A335" s="99" t="s">
        <v>875</v>
      </c>
      <c r="B335" s="99" t="s">
        <v>876</v>
      </c>
      <c r="C335" s="99" t="s">
        <v>48</v>
      </c>
      <c r="D335" s="99" t="s">
        <v>387</v>
      </c>
      <c r="E335" s="96" t="s">
        <v>99</v>
      </c>
      <c r="F335" s="146" t="s">
        <v>858</v>
      </c>
      <c r="G335" s="147">
        <v>228800</v>
      </c>
      <c r="H335" s="97">
        <v>223312.25</v>
      </c>
      <c r="I335" s="97">
        <v>0</v>
      </c>
      <c r="J335" s="97">
        <v>223312.17</v>
      </c>
      <c r="K335" s="97">
        <v>2936.55</v>
      </c>
      <c r="L335" s="97">
        <v>220375.62</v>
      </c>
      <c r="M335" s="98">
        <v>1.2999999999999999E-2</v>
      </c>
      <c r="N335" s="99" t="s">
        <v>41</v>
      </c>
      <c r="O335" s="96" t="s">
        <v>822</v>
      </c>
      <c r="P335" s="85">
        <v>1</v>
      </c>
    </row>
    <row r="336" spans="1:16" s="48" customFormat="1">
      <c r="A336" s="99" t="s">
        <v>877</v>
      </c>
      <c r="B336" s="99" t="s">
        <v>878</v>
      </c>
      <c r="C336" s="99" t="s">
        <v>48</v>
      </c>
      <c r="D336" s="99" t="s">
        <v>387</v>
      </c>
      <c r="E336" s="96" t="s">
        <v>99</v>
      </c>
      <c r="F336" s="146" t="s">
        <v>858</v>
      </c>
      <c r="G336" s="147">
        <v>316800</v>
      </c>
      <c r="H336" s="97">
        <v>309201.58</v>
      </c>
      <c r="I336" s="97">
        <v>0</v>
      </c>
      <c r="J336" s="97">
        <v>309201.46999999997</v>
      </c>
      <c r="K336" s="97">
        <v>103082.39</v>
      </c>
      <c r="L336" s="97">
        <v>206119.08</v>
      </c>
      <c r="M336" s="98">
        <v>0.33300000000000002</v>
      </c>
      <c r="N336" s="99" t="s">
        <v>41</v>
      </c>
      <c r="O336" s="96" t="s">
        <v>822</v>
      </c>
      <c r="P336" s="85">
        <v>1</v>
      </c>
    </row>
    <row r="337" spans="1:16" s="48" customFormat="1">
      <c r="A337" s="99" t="s">
        <v>879</v>
      </c>
      <c r="B337" s="99" t="s">
        <v>880</v>
      </c>
      <c r="C337" s="99" t="s">
        <v>48</v>
      </c>
      <c r="D337" s="99" t="s">
        <v>387</v>
      </c>
      <c r="E337" s="96" t="s">
        <v>99</v>
      </c>
      <c r="F337" s="146" t="s">
        <v>858</v>
      </c>
      <c r="G337" s="147">
        <v>123200</v>
      </c>
      <c r="H337" s="97">
        <v>120245.06</v>
      </c>
      <c r="I337" s="97">
        <v>0</v>
      </c>
      <c r="J337" s="97">
        <v>120245.02</v>
      </c>
      <c r="K337" s="97">
        <v>25673.41</v>
      </c>
      <c r="L337" s="97">
        <v>94571.61</v>
      </c>
      <c r="M337" s="98">
        <v>0.214</v>
      </c>
      <c r="N337" s="99" t="s">
        <v>41</v>
      </c>
      <c r="O337" s="96" t="s">
        <v>822</v>
      </c>
      <c r="P337" s="85">
        <v>1</v>
      </c>
    </row>
    <row r="338" spans="1:16" s="48" customFormat="1">
      <c r="A338" s="96" t="s">
        <v>59</v>
      </c>
      <c r="B338" s="99" t="s">
        <v>759</v>
      </c>
      <c r="C338" s="99" t="s">
        <v>48</v>
      </c>
      <c r="D338" s="99" t="s">
        <v>40</v>
      </c>
      <c r="E338" s="96" t="s">
        <v>99</v>
      </c>
      <c r="F338" s="101" t="s">
        <v>190</v>
      </c>
      <c r="G338" s="97">
        <v>39730</v>
      </c>
      <c r="H338" s="97">
        <v>39275</v>
      </c>
      <c r="I338" s="97">
        <v>13.09</v>
      </c>
      <c r="J338" s="97">
        <v>39235</v>
      </c>
      <c r="K338" s="97">
        <v>34155</v>
      </c>
      <c r="L338" s="97">
        <v>5080</v>
      </c>
      <c r="M338" s="98">
        <v>0.871</v>
      </c>
      <c r="N338" s="99" t="s">
        <v>41</v>
      </c>
      <c r="O338" s="99"/>
      <c r="P338" s="77">
        <v>1</v>
      </c>
    </row>
    <row r="339" spans="1:16" s="48" customFormat="1">
      <c r="A339" s="96" t="s">
        <v>93</v>
      </c>
      <c r="B339" s="99" t="s">
        <v>760</v>
      </c>
      <c r="C339" s="99" t="s">
        <v>48</v>
      </c>
      <c r="D339" s="99" t="s">
        <v>94</v>
      </c>
      <c r="E339" s="96" t="s">
        <v>99</v>
      </c>
      <c r="F339" s="101" t="s">
        <v>123</v>
      </c>
      <c r="G339" s="97">
        <v>9636</v>
      </c>
      <c r="H339" s="97">
        <v>8712</v>
      </c>
      <c r="I339" s="97">
        <v>1632.66</v>
      </c>
      <c r="J339" s="97">
        <v>6360</v>
      </c>
      <c r="K339" s="97">
        <v>888</v>
      </c>
      <c r="L339" s="97">
        <v>5472</v>
      </c>
      <c r="M339" s="98">
        <v>0.14000000000000001</v>
      </c>
      <c r="N339" s="99" t="s">
        <v>41</v>
      </c>
      <c r="O339" s="99" t="s">
        <v>90</v>
      </c>
      <c r="P339" s="77">
        <v>1</v>
      </c>
    </row>
    <row r="340" spans="1:16" s="48" customFormat="1">
      <c r="A340" s="96" t="s">
        <v>111</v>
      </c>
      <c r="B340" s="99" t="s">
        <v>761</v>
      </c>
      <c r="C340" s="99" t="s">
        <v>48</v>
      </c>
      <c r="D340" s="99" t="s">
        <v>107</v>
      </c>
      <c r="E340" s="96" t="s">
        <v>99</v>
      </c>
      <c r="F340" s="101" t="s">
        <v>454</v>
      </c>
      <c r="G340" s="97">
        <v>5012</v>
      </c>
      <c r="H340" s="97">
        <v>4534</v>
      </c>
      <c r="I340" s="97">
        <v>407.26</v>
      </c>
      <c r="J340" s="97">
        <v>3602</v>
      </c>
      <c r="K340" s="97">
        <v>3602</v>
      </c>
      <c r="L340" s="97">
        <v>0</v>
      </c>
      <c r="M340" s="98">
        <v>1</v>
      </c>
      <c r="N340" s="99" t="s">
        <v>41</v>
      </c>
      <c r="O340" s="99" t="s">
        <v>118</v>
      </c>
      <c r="P340" s="77">
        <v>1</v>
      </c>
    </row>
    <row r="341" spans="1:16" s="48" customFormat="1">
      <c r="A341" s="96" t="s">
        <v>106</v>
      </c>
      <c r="B341" s="99" t="s">
        <v>762</v>
      </c>
      <c r="C341" s="99" t="s">
        <v>48</v>
      </c>
      <c r="D341" s="99" t="s">
        <v>107</v>
      </c>
      <c r="E341" s="96" t="s">
        <v>99</v>
      </c>
      <c r="F341" s="101" t="s">
        <v>454</v>
      </c>
      <c r="G341" s="97">
        <v>4088</v>
      </c>
      <c r="H341" s="97">
        <v>3724</v>
      </c>
      <c r="I341" s="97">
        <v>9.9499999999999993</v>
      </c>
      <c r="J341" s="97">
        <v>3656</v>
      </c>
      <c r="K341" s="97">
        <v>3656</v>
      </c>
      <c r="L341" s="97">
        <v>0</v>
      </c>
      <c r="M341" s="98">
        <v>1</v>
      </c>
      <c r="N341" s="99" t="s">
        <v>41</v>
      </c>
      <c r="O341" s="99" t="s">
        <v>120</v>
      </c>
      <c r="P341" s="77">
        <v>1</v>
      </c>
    </row>
    <row r="342" spans="1:16" s="48" customFormat="1">
      <c r="A342" s="96" t="s">
        <v>108</v>
      </c>
      <c r="B342" s="99" t="s">
        <v>763</v>
      </c>
      <c r="C342" s="99" t="s">
        <v>48</v>
      </c>
      <c r="D342" s="99" t="s">
        <v>107</v>
      </c>
      <c r="E342" s="96" t="s">
        <v>99</v>
      </c>
      <c r="F342" s="101" t="s">
        <v>454</v>
      </c>
      <c r="G342" s="97">
        <v>7640</v>
      </c>
      <c r="H342" s="97">
        <v>6928</v>
      </c>
      <c r="I342" s="97">
        <v>781.83</v>
      </c>
      <c r="J342" s="97">
        <v>5628.13</v>
      </c>
      <c r="K342" s="97">
        <v>5528.13</v>
      </c>
      <c r="L342" s="97">
        <v>100</v>
      </c>
      <c r="M342" s="98">
        <v>0.98199999999999998</v>
      </c>
      <c r="N342" s="99" t="s">
        <v>41</v>
      </c>
      <c r="O342" s="99" t="s">
        <v>120</v>
      </c>
      <c r="P342" s="77">
        <v>1</v>
      </c>
    </row>
    <row r="343" spans="1:16" s="48" customFormat="1">
      <c r="A343" s="96" t="s">
        <v>109</v>
      </c>
      <c r="B343" s="99" t="s">
        <v>764</v>
      </c>
      <c r="C343" s="99" t="s">
        <v>48</v>
      </c>
      <c r="D343" s="99" t="s">
        <v>94</v>
      </c>
      <c r="E343" s="96" t="s">
        <v>102</v>
      </c>
      <c r="F343" s="101" t="s">
        <v>123</v>
      </c>
      <c r="G343" s="97">
        <v>128730</v>
      </c>
      <c r="H343" s="97">
        <v>118041</v>
      </c>
      <c r="I343" s="97">
        <v>701.75</v>
      </c>
      <c r="J343" s="97">
        <v>114866.67</v>
      </c>
      <c r="K343" s="97">
        <v>100280</v>
      </c>
      <c r="L343" s="97">
        <v>14586.67</v>
      </c>
      <c r="M343" s="98">
        <v>0.873</v>
      </c>
      <c r="N343" s="99" t="s">
        <v>41</v>
      </c>
      <c r="O343" s="99" t="s">
        <v>120</v>
      </c>
      <c r="P343" s="77">
        <v>1</v>
      </c>
    </row>
    <row r="344" spans="1:16" s="48" customFormat="1">
      <c r="A344" s="96" t="s">
        <v>160</v>
      </c>
      <c r="B344" s="99" t="s">
        <v>765</v>
      </c>
      <c r="C344" s="99" t="s">
        <v>48</v>
      </c>
      <c r="D344" s="99" t="s">
        <v>107</v>
      </c>
      <c r="E344" s="96" t="s">
        <v>99</v>
      </c>
      <c r="F344" s="101" t="s">
        <v>454</v>
      </c>
      <c r="G344" s="97">
        <v>9440</v>
      </c>
      <c r="H344" s="97">
        <v>8536</v>
      </c>
      <c r="I344" s="97">
        <v>814.52</v>
      </c>
      <c r="J344" s="97">
        <v>7204</v>
      </c>
      <c r="K344" s="97">
        <v>7204</v>
      </c>
      <c r="L344" s="97">
        <v>0</v>
      </c>
      <c r="M344" s="98">
        <v>1</v>
      </c>
      <c r="N344" s="99" t="s">
        <v>41</v>
      </c>
      <c r="O344" s="99" t="s">
        <v>126</v>
      </c>
      <c r="P344" s="77">
        <v>1</v>
      </c>
    </row>
    <row r="345" spans="1:16" s="48" customFormat="1">
      <c r="A345" s="96" t="s">
        <v>161</v>
      </c>
      <c r="B345" s="99" t="s">
        <v>766</v>
      </c>
      <c r="C345" s="99" t="s">
        <v>48</v>
      </c>
      <c r="D345" s="99" t="s">
        <v>107</v>
      </c>
      <c r="E345" s="96" t="s">
        <v>99</v>
      </c>
      <c r="F345" s="101" t="s">
        <v>454</v>
      </c>
      <c r="G345" s="97">
        <v>9440</v>
      </c>
      <c r="H345" s="97">
        <v>8536</v>
      </c>
      <c r="I345" s="97">
        <v>814.52</v>
      </c>
      <c r="J345" s="97">
        <v>7204</v>
      </c>
      <c r="K345" s="97">
        <v>7204</v>
      </c>
      <c r="L345" s="97">
        <v>0</v>
      </c>
      <c r="M345" s="98">
        <v>1</v>
      </c>
      <c r="N345" s="99" t="s">
        <v>41</v>
      </c>
      <c r="O345" s="99" t="s">
        <v>126</v>
      </c>
      <c r="P345" s="77">
        <v>1</v>
      </c>
    </row>
    <row r="346" spans="1:16" s="48" customFormat="1">
      <c r="A346" s="96" t="s">
        <v>162</v>
      </c>
      <c r="B346" s="99" t="s">
        <v>767</v>
      </c>
      <c r="C346" s="99" t="s">
        <v>48</v>
      </c>
      <c r="D346" s="99" t="s">
        <v>107</v>
      </c>
      <c r="E346" s="96" t="s">
        <v>99</v>
      </c>
      <c r="F346" s="101" t="s">
        <v>454</v>
      </c>
      <c r="G346" s="97">
        <v>5402</v>
      </c>
      <c r="H346" s="97">
        <v>4921</v>
      </c>
      <c r="I346" s="97">
        <v>11.9</v>
      </c>
      <c r="J346" s="97">
        <v>4837.2700000000004</v>
      </c>
      <c r="K346" s="97">
        <v>4837.2700000000004</v>
      </c>
      <c r="L346" s="97">
        <v>0</v>
      </c>
      <c r="M346" s="98">
        <v>1</v>
      </c>
      <c r="N346" s="99" t="s">
        <v>41</v>
      </c>
      <c r="O346" s="99" t="s">
        <v>126</v>
      </c>
      <c r="P346" s="77">
        <v>1</v>
      </c>
    </row>
    <row r="347" spans="1:16" s="48" customFormat="1">
      <c r="A347" s="96" t="s">
        <v>163</v>
      </c>
      <c r="B347" s="99" t="s">
        <v>768</v>
      </c>
      <c r="C347" s="99" t="s">
        <v>48</v>
      </c>
      <c r="D347" s="99" t="s">
        <v>107</v>
      </c>
      <c r="E347" s="96" t="s">
        <v>99</v>
      </c>
      <c r="F347" s="101" t="s">
        <v>137</v>
      </c>
      <c r="G347" s="97">
        <v>9440</v>
      </c>
      <c r="H347" s="97">
        <v>8536</v>
      </c>
      <c r="I347" s="97">
        <v>814.52</v>
      </c>
      <c r="J347" s="97">
        <v>7204</v>
      </c>
      <c r="K347" s="97">
        <v>7204</v>
      </c>
      <c r="L347" s="97">
        <v>0</v>
      </c>
      <c r="M347" s="98">
        <v>1</v>
      </c>
      <c r="N347" s="99" t="s">
        <v>41</v>
      </c>
      <c r="O347" s="99" t="s">
        <v>126</v>
      </c>
      <c r="P347" s="77">
        <v>1</v>
      </c>
    </row>
    <row r="348" spans="1:16" s="48" customFormat="1">
      <c r="A348" s="96" t="s">
        <v>164</v>
      </c>
      <c r="B348" s="99" t="s">
        <v>769</v>
      </c>
      <c r="C348" s="99" t="s">
        <v>48</v>
      </c>
      <c r="D348" s="99" t="s">
        <v>107</v>
      </c>
      <c r="E348" s="96" t="s">
        <v>99</v>
      </c>
      <c r="F348" s="101" t="s">
        <v>137</v>
      </c>
      <c r="G348" s="97">
        <v>9440</v>
      </c>
      <c r="H348" s="97">
        <v>8536</v>
      </c>
      <c r="I348" s="97">
        <v>814.52</v>
      </c>
      <c r="J348" s="97">
        <v>7204</v>
      </c>
      <c r="K348" s="97">
        <v>7204</v>
      </c>
      <c r="L348" s="97">
        <v>0</v>
      </c>
      <c r="M348" s="98">
        <v>1</v>
      </c>
      <c r="N348" s="99" t="s">
        <v>41</v>
      </c>
      <c r="O348" s="99" t="s">
        <v>126</v>
      </c>
      <c r="P348" s="77">
        <v>1</v>
      </c>
    </row>
    <row r="349" spans="1:16" s="48" customFormat="1">
      <c r="A349" s="96" t="s">
        <v>166</v>
      </c>
      <c r="B349" s="99" t="s">
        <v>770</v>
      </c>
      <c r="C349" s="99" t="s">
        <v>48</v>
      </c>
      <c r="D349" s="99" t="s">
        <v>107</v>
      </c>
      <c r="E349" s="96" t="s">
        <v>99</v>
      </c>
      <c r="F349" s="101" t="s">
        <v>137</v>
      </c>
      <c r="G349" s="97">
        <v>9440</v>
      </c>
      <c r="H349" s="97">
        <v>8536</v>
      </c>
      <c r="I349" s="97">
        <v>814.52</v>
      </c>
      <c r="J349" s="97">
        <v>7204</v>
      </c>
      <c r="K349" s="97">
        <v>7204</v>
      </c>
      <c r="L349" s="97">
        <v>0</v>
      </c>
      <c r="M349" s="98">
        <v>1</v>
      </c>
      <c r="N349" s="99" t="s">
        <v>41</v>
      </c>
      <c r="O349" s="99" t="s">
        <v>126</v>
      </c>
      <c r="P349" s="77">
        <v>1</v>
      </c>
    </row>
    <row r="350" spans="1:16" s="48" customFormat="1">
      <c r="A350" s="96" t="s">
        <v>229</v>
      </c>
      <c r="B350" s="99" t="s">
        <v>771</v>
      </c>
      <c r="C350" s="99" t="s">
        <v>48</v>
      </c>
      <c r="D350" s="99" t="s">
        <v>89</v>
      </c>
      <c r="E350" s="96" t="s">
        <v>99</v>
      </c>
      <c r="F350" s="101" t="s">
        <v>215</v>
      </c>
      <c r="G350" s="97">
        <v>34782</v>
      </c>
      <c r="H350" s="97">
        <v>31373</v>
      </c>
      <c r="I350" s="97">
        <v>2258.9699999999998</v>
      </c>
      <c r="J350" s="97">
        <v>28377.49</v>
      </c>
      <c r="K350" s="97">
        <v>14643.13</v>
      </c>
      <c r="L350" s="97">
        <v>13734.36</v>
      </c>
      <c r="M350" s="98">
        <v>0.51600000000000001</v>
      </c>
      <c r="N350" s="99" t="s">
        <v>41</v>
      </c>
      <c r="O350" s="99" t="s">
        <v>227</v>
      </c>
      <c r="P350" s="77">
        <v>1</v>
      </c>
    </row>
    <row r="351" spans="1:16" s="48" customFormat="1">
      <c r="A351" s="96" t="s">
        <v>284</v>
      </c>
      <c r="B351" s="99" t="s">
        <v>772</v>
      </c>
      <c r="C351" s="99" t="s">
        <v>48</v>
      </c>
      <c r="D351" s="99" t="s">
        <v>107</v>
      </c>
      <c r="E351" s="96" t="s">
        <v>99</v>
      </c>
      <c r="F351" s="101" t="s">
        <v>454</v>
      </c>
      <c r="G351" s="97">
        <v>5052</v>
      </c>
      <c r="H351" s="97">
        <v>4544</v>
      </c>
      <c r="I351" s="97">
        <v>464.22</v>
      </c>
      <c r="J351" s="97">
        <v>2746.17</v>
      </c>
      <c r="K351" s="97">
        <v>2746.17</v>
      </c>
      <c r="L351" s="97">
        <v>0</v>
      </c>
      <c r="M351" s="98">
        <v>1</v>
      </c>
      <c r="N351" s="99" t="s">
        <v>41</v>
      </c>
      <c r="O351" s="99" t="s">
        <v>279</v>
      </c>
      <c r="P351" s="77">
        <v>1</v>
      </c>
    </row>
    <row r="352" spans="1:16" s="48" customFormat="1">
      <c r="A352" s="96" t="s">
        <v>364</v>
      </c>
      <c r="B352" s="99" t="s">
        <v>773</v>
      </c>
      <c r="C352" s="99" t="s">
        <v>48</v>
      </c>
      <c r="D352" s="99" t="s">
        <v>107</v>
      </c>
      <c r="E352" s="96" t="s">
        <v>99</v>
      </c>
      <c r="F352" s="101" t="s">
        <v>454</v>
      </c>
      <c r="G352" s="97">
        <v>5384</v>
      </c>
      <c r="H352" s="97">
        <v>4820</v>
      </c>
      <c r="I352" s="97">
        <v>2161.5300000000002</v>
      </c>
      <c r="J352" s="97">
        <v>1330</v>
      </c>
      <c r="K352" s="97">
        <v>1330</v>
      </c>
      <c r="L352" s="97">
        <v>0</v>
      </c>
      <c r="M352" s="98">
        <v>1</v>
      </c>
      <c r="N352" s="99" t="s">
        <v>41</v>
      </c>
      <c r="O352" s="99" t="s">
        <v>361</v>
      </c>
      <c r="P352" s="77">
        <v>1</v>
      </c>
    </row>
    <row r="353" spans="1:16" s="48" customFormat="1">
      <c r="A353" s="96" t="s">
        <v>378</v>
      </c>
      <c r="B353" s="99" t="s">
        <v>774</v>
      </c>
      <c r="C353" s="99" t="s">
        <v>48</v>
      </c>
      <c r="D353" s="99" t="s">
        <v>341</v>
      </c>
      <c r="E353" s="96" t="s">
        <v>99</v>
      </c>
      <c r="F353" s="101" t="s">
        <v>375</v>
      </c>
      <c r="G353" s="97">
        <v>8400</v>
      </c>
      <c r="H353" s="97">
        <v>7504</v>
      </c>
      <c r="I353" s="97">
        <v>66.38</v>
      </c>
      <c r="J353" s="97">
        <v>6206.67</v>
      </c>
      <c r="K353" s="97">
        <v>6206.67</v>
      </c>
      <c r="L353" s="97">
        <v>0</v>
      </c>
      <c r="M353" s="98">
        <v>1</v>
      </c>
      <c r="N353" s="99" t="s">
        <v>41</v>
      </c>
      <c r="O353" s="99" t="s">
        <v>374</v>
      </c>
      <c r="P353" s="77">
        <v>1</v>
      </c>
    </row>
    <row r="354" spans="1:16" s="48" customFormat="1">
      <c r="A354" s="96" t="s">
        <v>378</v>
      </c>
      <c r="B354" s="99" t="s">
        <v>774</v>
      </c>
      <c r="C354" s="99" t="s">
        <v>48</v>
      </c>
      <c r="D354" s="99" t="s">
        <v>341</v>
      </c>
      <c r="E354" s="96" t="s">
        <v>102</v>
      </c>
      <c r="F354" s="101" t="s">
        <v>375</v>
      </c>
      <c r="G354" s="97">
        <v>6230</v>
      </c>
      <c r="H354" s="97">
        <v>6025</v>
      </c>
      <c r="I354" s="97">
        <v>47.75</v>
      </c>
      <c r="J354" s="97">
        <v>5320</v>
      </c>
      <c r="K354" s="97">
        <v>3990</v>
      </c>
      <c r="L354" s="97">
        <v>1330</v>
      </c>
      <c r="M354" s="98">
        <v>0.75</v>
      </c>
      <c r="N354" s="99" t="s">
        <v>41</v>
      </c>
      <c r="O354" s="99" t="s">
        <v>374</v>
      </c>
      <c r="P354" s="77"/>
    </row>
    <row r="355" spans="1:16" s="48" customFormat="1">
      <c r="A355" s="96" t="s">
        <v>422</v>
      </c>
      <c r="B355" s="99" t="s">
        <v>775</v>
      </c>
      <c r="C355" s="99" t="s">
        <v>48</v>
      </c>
      <c r="D355" s="99" t="s">
        <v>341</v>
      </c>
      <c r="E355" s="96" t="s">
        <v>99</v>
      </c>
      <c r="F355" s="101" t="s">
        <v>228</v>
      </c>
      <c r="G355" s="97">
        <v>9900</v>
      </c>
      <c r="H355" s="97">
        <v>8844</v>
      </c>
      <c r="I355" s="97">
        <v>66.38</v>
      </c>
      <c r="J355" s="97">
        <v>7448</v>
      </c>
      <c r="K355" s="97">
        <v>7448</v>
      </c>
      <c r="L355" s="97">
        <v>0</v>
      </c>
      <c r="M355" s="98">
        <v>1</v>
      </c>
      <c r="N355" s="99" t="s">
        <v>41</v>
      </c>
      <c r="O355" s="99" t="s">
        <v>419</v>
      </c>
      <c r="P355" s="77">
        <v>1</v>
      </c>
    </row>
    <row r="356" spans="1:16" s="48" customFormat="1">
      <c r="A356" s="96" t="s">
        <v>422</v>
      </c>
      <c r="B356" s="99" t="s">
        <v>775</v>
      </c>
      <c r="C356" s="99" t="s">
        <v>48</v>
      </c>
      <c r="D356" s="99" t="s">
        <v>341</v>
      </c>
      <c r="E356" s="96" t="s">
        <v>102</v>
      </c>
      <c r="F356" s="101" t="s">
        <v>228</v>
      </c>
      <c r="G356" s="97">
        <v>13200</v>
      </c>
      <c r="H356" s="97">
        <v>12864</v>
      </c>
      <c r="I356" s="97">
        <v>114.6</v>
      </c>
      <c r="J356" s="97">
        <v>12768</v>
      </c>
      <c r="K356" s="97">
        <v>11491.2</v>
      </c>
      <c r="L356" s="97">
        <v>1276.8</v>
      </c>
      <c r="M356" s="98">
        <v>0.9</v>
      </c>
      <c r="N356" s="99" t="s">
        <v>41</v>
      </c>
      <c r="O356" s="99" t="s">
        <v>419</v>
      </c>
      <c r="P356" s="77"/>
    </row>
    <row r="357" spans="1:16" s="48" customFormat="1">
      <c r="A357" s="96" t="s">
        <v>416</v>
      </c>
      <c r="B357" s="99" t="s">
        <v>776</v>
      </c>
      <c r="C357" s="99" t="s">
        <v>48</v>
      </c>
      <c r="D357" s="99" t="s">
        <v>107</v>
      </c>
      <c r="E357" s="96" t="s">
        <v>99</v>
      </c>
      <c r="F357" s="101" t="s">
        <v>454</v>
      </c>
      <c r="G357" s="97">
        <v>14984</v>
      </c>
      <c r="H357" s="97">
        <v>13396</v>
      </c>
      <c r="I357" s="97">
        <v>5664.57</v>
      </c>
      <c r="J357" s="97">
        <v>7104</v>
      </c>
      <c r="K357" s="97">
        <v>0</v>
      </c>
      <c r="L357" s="97">
        <v>7104</v>
      </c>
      <c r="M357" s="98">
        <v>0</v>
      </c>
      <c r="N357" s="99" t="s">
        <v>41</v>
      </c>
      <c r="O357" s="99" t="s">
        <v>411</v>
      </c>
      <c r="P357" s="77">
        <v>1</v>
      </c>
    </row>
    <row r="358" spans="1:16" s="48" customFormat="1">
      <c r="A358" s="96" t="s">
        <v>417</v>
      </c>
      <c r="B358" s="99" t="s">
        <v>777</v>
      </c>
      <c r="C358" s="99" t="s">
        <v>48</v>
      </c>
      <c r="D358" s="99" t="s">
        <v>107</v>
      </c>
      <c r="E358" s="96" t="s">
        <v>99</v>
      </c>
      <c r="F358" s="101" t="s">
        <v>390</v>
      </c>
      <c r="G358" s="97">
        <v>14984</v>
      </c>
      <c r="H358" s="97">
        <v>13396</v>
      </c>
      <c r="I358" s="97">
        <v>5664.57</v>
      </c>
      <c r="J358" s="97">
        <v>7104</v>
      </c>
      <c r="K358" s="97">
        <v>7104</v>
      </c>
      <c r="L358" s="97">
        <v>0</v>
      </c>
      <c r="M358" s="98">
        <v>1</v>
      </c>
      <c r="N358" s="99" t="s">
        <v>41</v>
      </c>
      <c r="O358" s="99" t="s">
        <v>411</v>
      </c>
      <c r="P358" s="77">
        <v>1</v>
      </c>
    </row>
    <row r="359" spans="1:16" s="48" customFormat="1">
      <c r="A359" s="96" t="s">
        <v>487</v>
      </c>
      <c r="B359" s="99" t="s">
        <v>488</v>
      </c>
      <c r="C359" s="99" t="s">
        <v>48</v>
      </c>
      <c r="D359" s="99" t="s">
        <v>470</v>
      </c>
      <c r="E359" s="96" t="s">
        <v>99</v>
      </c>
      <c r="F359" s="101" t="s">
        <v>478</v>
      </c>
      <c r="G359" s="97">
        <v>602800</v>
      </c>
      <c r="H359" s="97">
        <v>553752</v>
      </c>
      <c r="I359" s="97">
        <v>0</v>
      </c>
      <c r="J359" s="97">
        <v>0</v>
      </c>
      <c r="K359" s="97">
        <v>0</v>
      </c>
      <c r="L359" s="97">
        <v>0</v>
      </c>
      <c r="M359" s="98">
        <v>0</v>
      </c>
      <c r="N359" s="99" t="s">
        <v>41</v>
      </c>
      <c r="O359" s="99" t="s">
        <v>477</v>
      </c>
      <c r="P359" s="77">
        <v>1</v>
      </c>
    </row>
    <row r="360" spans="1:16" s="48" customFormat="1">
      <c r="A360" s="96" t="s">
        <v>487</v>
      </c>
      <c r="B360" s="99" t="s">
        <v>488</v>
      </c>
      <c r="C360" s="99" t="s">
        <v>48</v>
      </c>
      <c r="D360" s="99" t="s">
        <v>470</v>
      </c>
      <c r="E360" s="96" t="s">
        <v>102</v>
      </c>
      <c r="F360" s="101" t="s">
        <v>478</v>
      </c>
      <c r="G360" s="97">
        <v>96000</v>
      </c>
      <c r="H360" s="97">
        <v>88032</v>
      </c>
      <c r="I360" s="97">
        <v>5242.13</v>
      </c>
      <c r="J360" s="97">
        <v>82709.72</v>
      </c>
      <c r="K360" s="97">
        <v>82709.72</v>
      </c>
      <c r="L360" s="97">
        <v>0</v>
      </c>
      <c r="M360" s="98">
        <v>1</v>
      </c>
      <c r="N360" s="99" t="s">
        <v>41</v>
      </c>
      <c r="O360" s="99" t="s">
        <v>477</v>
      </c>
      <c r="P360" s="77"/>
    </row>
    <row r="361" spans="1:16" s="48" customFormat="1">
      <c r="A361" s="96" t="s">
        <v>489</v>
      </c>
      <c r="B361" s="99" t="s">
        <v>490</v>
      </c>
      <c r="C361" s="99" t="s">
        <v>48</v>
      </c>
      <c r="D361" s="99" t="s">
        <v>470</v>
      </c>
      <c r="E361" s="96" t="s">
        <v>99</v>
      </c>
      <c r="F361" s="101" t="s">
        <v>478</v>
      </c>
      <c r="G361" s="97">
        <v>602800</v>
      </c>
      <c r="H361" s="97">
        <v>553752</v>
      </c>
      <c r="I361" s="97">
        <v>0</v>
      </c>
      <c r="J361" s="97">
        <v>0</v>
      </c>
      <c r="K361" s="97">
        <v>0</v>
      </c>
      <c r="L361" s="97">
        <v>0</v>
      </c>
      <c r="M361" s="98">
        <v>0</v>
      </c>
      <c r="N361" s="99" t="s">
        <v>41</v>
      </c>
      <c r="O361" s="99" t="s">
        <v>477</v>
      </c>
      <c r="P361" s="77">
        <v>1</v>
      </c>
    </row>
    <row r="362" spans="1:16" s="48" customFormat="1">
      <c r="A362" s="96" t="s">
        <v>489</v>
      </c>
      <c r="B362" s="99" t="s">
        <v>490</v>
      </c>
      <c r="C362" s="99" t="s">
        <v>48</v>
      </c>
      <c r="D362" s="99" t="s">
        <v>470</v>
      </c>
      <c r="E362" s="96" t="s">
        <v>102</v>
      </c>
      <c r="F362" s="101" t="s">
        <v>478</v>
      </c>
      <c r="G362" s="97">
        <v>96000</v>
      </c>
      <c r="H362" s="97">
        <v>88032</v>
      </c>
      <c r="I362" s="97">
        <v>5242.13</v>
      </c>
      <c r="J362" s="97">
        <v>82709.72</v>
      </c>
      <c r="K362" s="97">
        <v>82709.72</v>
      </c>
      <c r="L362" s="97">
        <v>0</v>
      </c>
      <c r="M362" s="98">
        <v>1</v>
      </c>
      <c r="N362" s="99" t="s">
        <v>41</v>
      </c>
      <c r="O362" s="99" t="s">
        <v>477</v>
      </c>
      <c r="P362" s="77"/>
    </row>
    <row r="363" spans="1:16" s="48" customFormat="1">
      <c r="A363" s="96" t="s">
        <v>881</v>
      </c>
      <c r="B363" s="99" t="s">
        <v>882</v>
      </c>
      <c r="C363" s="99" t="s">
        <v>48</v>
      </c>
      <c r="D363" s="99" t="s">
        <v>470</v>
      </c>
      <c r="E363" s="96" t="s">
        <v>99</v>
      </c>
      <c r="F363" s="101" t="s">
        <v>869</v>
      </c>
      <c r="G363" s="97">
        <v>218000</v>
      </c>
      <c r="H363" s="97">
        <v>200384</v>
      </c>
      <c r="I363" s="97">
        <v>0</v>
      </c>
      <c r="J363" s="97">
        <v>0</v>
      </c>
      <c r="K363" s="97">
        <v>0</v>
      </c>
      <c r="L363" s="97">
        <v>0</v>
      </c>
      <c r="M363" s="98">
        <v>0</v>
      </c>
      <c r="N363" s="99" t="s">
        <v>41</v>
      </c>
      <c r="O363" s="99" t="s">
        <v>874</v>
      </c>
      <c r="P363" s="77">
        <v>1</v>
      </c>
    </row>
    <row r="364" spans="1:16" s="48" customFormat="1">
      <c r="A364" s="96" t="s">
        <v>881</v>
      </c>
      <c r="B364" s="99" t="s">
        <v>882</v>
      </c>
      <c r="C364" s="99" t="s">
        <v>48</v>
      </c>
      <c r="D364" s="99" t="s">
        <v>470</v>
      </c>
      <c r="E364" s="96" t="s">
        <v>102</v>
      </c>
      <c r="F364" s="101" t="s">
        <v>869</v>
      </c>
      <c r="G364" s="97">
        <v>191000</v>
      </c>
      <c r="H364" s="97">
        <v>175147</v>
      </c>
      <c r="I364" s="97">
        <v>0</v>
      </c>
      <c r="J364" s="97">
        <v>0</v>
      </c>
      <c r="K364" s="97">
        <v>0</v>
      </c>
      <c r="L364" s="97">
        <v>0</v>
      </c>
      <c r="M364" s="98">
        <v>0</v>
      </c>
      <c r="N364" s="99" t="s">
        <v>41</v>
      </c>
      <c r="O364" s="99" t="s">
        <v>874</v>
      </c>
      <c r="P364" s="77"/>
    </row>
    <row r="365" spans="1:16">
      <c r="A365" s="99" t="s">
        <v>372</v>
      </c>
      <c r="B365" s="99" t="s">
        <v>778</v>
      </c>
      <c r="C365" s="99" t="s">
        <v>48</v>
      </c>
      <c r="D365" s="99" t="s">
        <v>193</v>
      </c>
      <c r="E365" s="96" t="s">
        <v>102</v>
      </c>
      <c r="F365" s="101" t="s">
        <v>453</v>
      </c>
      <c r="G365" s="97">
        <v>223562</v>
      </c>
      <c r="H365" s="97">
        <v>223562</v>
      </c>
      <c r="I365" s="97">
        <v>0</v>
      </c>
      <c r="J365" s="97">
        <v>223562.08</v>
      </c>
      <c r="K365" s="97">
        <v>187339.37</v>
      </c>
      <c r="L365" s="97">
        <v>36222.720000000001</v>
      </c>
      <c r="M365" s="98">
        <v>0.83799999999999997</v>
      </c>
      <c r="N365" s="99" t="s">
        <v>44</v>
      </c>
      <c r="O365" s="99" t="s">
        <v>369</v>
      </c>
      <c r="P365" s="77">
        <v>1</v>
      </c>
    </row>
    <row r="366" spans="1:16" s="48" customFormat="1">
      <c r="A366" s="103"/>
      <c r="B366" s="103"/>
      <c r="C366" s="103"/>
      <c r="D366" s="103"/>
      <c r="E366" s="103"/>
      <c r="F366" s="142"/>
      <c r="G366" s="143"/>
      <c r="H366" s="143"/>
      <c r="I366" s="143"/>
      <c r="J366" s="143"/>
      <c r="K366" s="143"/>
      <c r="L366" s="143"/>
      <c r="M366" s="144"/>
      <c r="N366" s="103"/>
      <c r="O366" s="103"/>
      <c r="P366" s="85"/>
    </row>
    <row r="367" spans="1:16" s="48" customFormat="1">
      <c r="A367" s="105" t="s">
        <v>506</v>
      </c>
      <c r="B367" s="105"/>
      <c r="C367" s="105"/>
      <c r="D367" s="105"/>
      <c r="E367" s="139"/>
      <c r="F367" s="140"/>
      <c r="G367" s="106"/>
      <c r="H367" s="106"/>
      <c r="I367" s="106"/>
      <c r="J367" s="106"/>
      <c r="K367" s="106"/>
      <c r="L367" s="106"/>
      <c r="M367" s="107"/>
      <c r="N367" s="105"/>
      <c r="O367" s="105"/>
      <c r="P367" s="85"/>
    </row>
    <row r="368" spans="1:16" s="48" customFormat="1">
      <c r="A368" s="99" t="s">
        <v>507</v>
      </c>
      <c r="B368" s="99" t="s">
        <v>508</v>
      </c>
      <c r="C368" s="99" t="s">
        <v>509</v>
      </c>
      <c r="D368" s="99" t="s">
        <v>89</v>
      </c>
      <c r="E368" s="96" t="s">
        <v>99</v>
      </c>
      <c r="F368" s="101" t="s">
        <v>500</v>
      </c>
      <c r="G368" s="97">
        <v>62772</v>
      </c>
      <c r="H368" s="97">
        <v>56416</v>
      </c>
      <c r="I368" s="97">
        <v>4203.67</v>
      </c>
      <c r="J368" s="97">
        <v>43930.68</v>
      </c>
      <c r="K368" s="97">
        <v>33104.93</v>
      </c>
      <c r="L368" s="97">
        <v>10825.75</v>
      </c>
      <c r="M368" s="98">
        <v>0.754</v>
      </c>
      <c r="N368" s="99" t="s">
        <v>41</v>
      </c>
      <c r="O368" s="99" t="s">
        <v>493</v>
      </c>
      <c r="P368" s="77">
        <v>1</v>
      </c>
    </row>
    <row r="369" spans="1:16" s="48" customFormat="1">
      <c r="A369" s="99" t="s">
        <v>507</v>
      </c>
      <c r="B369" s="99" t="s">
        <v>508</v>
      </c>
      <c r="C369" s="99" t="s">
        <v>509</v>
      </c>
      <c r="D369" s="99" t="s">
        <v>89</v>
      </c>
      <c r="E369" s="96" t="s">
        <v>102</v>
      </c>
      <c r="F369" s="101" t="s">
        <v>500</v>
      </c>
      <c r="G369" s="97">
        <v>42000</v>
      </c>
      <c r="H369" s="97">
        <v>38514</v>
      </c>
      <c r="I369" s="97">
        <v>86.39</v>
      </c>
      <c r="J369" s="97">
        <v>38433.879999999997</v>
      </c>
      <c r="K369" s="97">
        <v>38433.879999999997</v>
      </c>
      <c r="L369" s="97">
        <v>0</v>
      </c>
      <c r="M369" s="98">
        <v>1</v>
      </c>
      <c r="N369" s="99" t="s">
        <v>41</v>
      </c>
      <c r="O369" s="99" t="s">
        <v>493</v>
      </c>
      <c r="P369" s="77"/>
    </row>
    <row r="370" spans="1:16" s="48" customFormat="1">
      <c r="A370" s="99" t="s">
        <v>510</v>
      </c>
      <c r="B370" s="99" t="s">
        <v>511</v>
      </c>
      <c r="C370" s="99" t="s">
        <v>509</v>
      </c>
      <c r="D370" s="99" t="s">
        <v>512</v>
      </c>
      <c r="E370" s="96" t="s">
        <v>99</v>
      </c>
      <c r="F370" s="101" t="s">
        <v>883</v>
      </c>
      <c r="G370" s="97">
        <v>1200</v>
      </c>
      <c r="H370" s="97">
        <v>1072</v>
      </c>
      <c r="I370" s="97">
        <v>0</v>
      </c>
      <c r="J370" s="97">
        <v>0</v>
      </c>
      <c r="K370" s="97">
        <v>0</v>
      </c>
      <c r="L370" s="97">
        <v>0</v>
      </c>
      <c r="M370" s="98">
        <v>0</v>
      </c>
      <c r="N370" s="99" t="s">
        <v>41</v>
      </c>
      <c r="O370" s="99" t="s">
        <v>493</v>
      </c>
      <c r="P370" s="77">
        <v>1</v>
      </c>
    </row>
    <row r="371" spans="1:16" s="48" customFormat="1">
      <c r="A371" s="99" t="s">
        <v>510</v>
      </c>
      <c r="B371" s="99" t="s">
        <v>511</v>
      </c>
      <c r="C371" s="99" t="s">
        <v>509</v>
      </c>
      <c r="D371" s="99" t="s">
        <v>512</v>
      </c>
      <c r="E371" s="96" t="s">
        <v>102</v>
      </c>
      <c r="F371" s="101" t="s">
        <v>883</v>
      </c>
      <c r="G371" s="97">
        <v>92400</v>
      </c>
      <c r="H371" s="97">
        <v>90048</v>
      </c>
      <c r="I371" s="97">
        <v>1229.03</v>
      </c>
      <c r="J371" s="97">
        <v>83469.289999999994</v>
      </c>
      <c r="K371" s="97">
        <v>66721.960000000006</v>
      </c>
      <c r="L371" s="97">
        <v>16747.34</v>
      </c>
      <c r="M371" s="98">
        <v>0.79900000000000004</v>
      </c>
      <c r="N371" s="99" t="s">
        <v>41</v>
      </c>
      <c r="O371" s="99" t="s">
        <v>493</v>
      </c>
      <c r="P371" s="77"/>
    </row>
    <row r="372" spans="1:16" s="48" customFormat="1">
      <c r="A372" s="141"/>
      <c r="B372" s="103"/>
      <c r="C372" s="103"/>
      <c r="D372" s="103"/>
      <c r="E372" s="141"/>
      <c r="F372" s="142"/>
      <c r="G372" s="143"/>
      <c r="H372" s="143"/>
      <c r="I372" s="143"/>
      <c r="J372" s="143"/>
      <c r="K372" s="143"/>
      <c r="L372" s="143"/>
      <c r="M372" s="144"/>
      <c r="N372" s="103"/>
      <c r="O372" s="103"/>
      <c r="P372" s="77"/>
    </row>
    <row r="373" spans="1:16" s="48" customFormat="1">
      <c r="A373" s="105" t="s">
        <v>379</v>
      </c>
      <c r="B373" s="105"/>
      <c r="C373" s="105"/>
      <c r="D373" s="105"/>
      <c r="E373" s="139"/>
      <c r="F373" s="140"/>
      <c r="G373" s="106"/>
      <c r="H373" s="106"/>
      <c r="I373" s="106"/>
      <c r="J373" s="106"/>
      <c r="K373" s="106"/>
      <c r="L373" s="106"/>
      <c r="M373" s="107"/>
      <c r="N373" s="105"/>
      <c r="O373" s="105"/>
      <c r="P373" s="85"/>
    </row>
    <row r="374" spans="1:16" s="48" customFormat="1">
      <c r="A374" s="99" t="s">
        <v>381</v>
      </c>
      <c r="B374" s="99" t="s">
        <v>779</v>
      </c>
      <c r="C374" s="99" t="s">
        <v>380</v>
      </c>
      <c r="D374" s="99" t="s">
        <v>214</v>
      </c>
      <c r="E374" s="96" t="s">
        <v>99</v>
      </c>
      <c r="F374" s="101" t="s">
        <v>228</v>
      </c>
      <c r="G374" s="97">
        <v>9430</v>
      </c>
      <c r="H374" s="97">
        <v>8437</v>
      </c>
      <c r="I374" s="97">
        <v>395.37</v>
      </c>
      <c r="J374" s="97">
        <v>7117.83</v>
      </c>
      <c r="K374" s="97">
        <v>7117.83</v>
      </c>
      <c r="L374" s="97">
        <v>0</v>
      </c>
      <c r="M374" s="98">
        <v>1</v>
      </c>
      <c r="N374" s="99" t="s">
        <v>41</v>
      </c>
      <c r="O374" s="99" t="s">
        <v>374</v>
      </c>
      <c r="P374" s="77">
        <v>1</v>
      </c>
    </row>
    <row r="375" spans="1:16" s="48" customFormat="1">
      <c r="A375" s="141"/>
      <c r="B375" s="103"/>
      <c r="C375" s="103"/>
      <c r="D375" s="103"/>
      <c r="E375" s="141"/>
      <c r="F375" s="142"/>
      <c r="G375" s="143"/>
      <c r="H375" s="143"/>
      <c r="I375" s="143"/>
      <c r="J375" s="143"/>
      <c r="K375" s="143"/>
      <c r="L375" s="143"/>
      <c r="M375" s="144"/>
      <c r="N375" s="103"/>
      <c r="O375" s="103"/>
      <c r="P375" s="77"/>
    </row>
    <row r="376" spans="1:16" s="48" customFormat="1">
      <c r="A376" s="82"/>
      <c r="B376" s="82"/>
      <c r="C376" s="82"/>
      <c r="D376" s="82"/>
      <c r="E376" s="82"/>
      <c r="F376" s="136"/>
      <c r="G376" s="137"/>
      <c r="H376" s="137"/>
      <c r="I376" s="137"/>
      <c r="J376" s="137"/>
      <c r="K376" s="137"/>
      <c r="L376" s="137"/>
      <c r="M376" s="138"/>
      <c r="N376" s="82"/>
      <c r="O376" s="82"/>
      <c r="P376" s="85"/>
    </row>
    <row r="377" spans="1:16" s="48" customFormat="1">
      <c r="A377" s="89" t="s">
        <v>324</v>
      </c>
      <c r="B377" s="90"/>
      <c r="C377" s="90"/>
      <c r="D377" s="90"/>
      <c r="E377" s="90"/>
      <c r="F377" s="130"/>
      <c r="G377" s="131"/>
      <c r="H377" s="131"/>
      <c r="I377" s="131"/>
      <c r="J377" s="131"/>
      <c r="K377" s="131"/>
      <c r="L377" s="131"/>
      <c r="M377" s="132"/>
      <c r="N377" s="90"/>
      <c r="O377" s="90"/>
      <c r="P377" s="85"/>
    </row>
    <row r="378" spans="1:16" s="48" customFormat="1">
      <c r="A378" s="108" t="s">
        <v>344</v>
      </c>
      <c r="B378" s="105"/>
      <c r="C378" s="105"/>
      <c r="D378" s="105"/>
      <c r="E378" s="139"/>
      <c r="F378" s="140"/>
      <c r="G378" s="106"/>
      <c r="H378" s="106"/>
      <c r="I378" s="106"/>
      <c r="J378" s="106"/>
      <c r="K378" s="106"/>
      <c r="L378" s="106"/>
      <c r="M378" s="107"/>
      <c r="N378" s="105"/>
      <c r="O378" s="105"/>
      <c r="P378" s="85"/>
    </row>
    <row r="379" spans="1:16">
      <c r="A379" s="99" t="s">
        <v>326</v>
      </c>
      <c r="B379" s="99" t="s">
        <v>780</v>
      </c>
      <c r="C379" s="99" t="s">
        <v>347</v>
      </c>
      <c r="D379" s="99" t="s">
        <v>214</v>
      </c>
      <c r="E379" s="99" t="s">
        <v>102</v>
      </c>
      <c r="F379" s="101" t="s">
        <v>228</v>
      </c>
      <c r="G379" s="148">
        <v>24730</v>
      </c>
      <c r="H379" s="97">
        <v>22673</v>
      </c>
      <c r="I379" s="97">
        <v>4436.91</v>
      </c>
      <c r="J379" s="148">
        <v>17016.669999999998</v>
      </c>
      <c r="K379" s="148">
        <v>17016.669999999998</v>
      </c>
      <c r="L379" s="148">
        <v>0</v>
      </c>
      <c r="M379" s="98">
        <v>1</v>
      </c>
      <c r="N379" s="99" t="s">
        <v>41</v>
      </c>
      <c r="O379" s="99"/>
      <c r="P379" s="77">
        <v>1</v>
      </c>
    </row>
    <row r="380" spans="1:16">
      <c r="A380" s="99" t="s">
        <v>327</v>
      </c>
      <c r="B380" s="99" t="s">
        <v>781</v>
      </c>
      <c r="C380" s="99" t="s">
        <v>347</v>
      </c>
      <c r="D380" s="99" t="s">
        <v>107</v>
      </c>
      <c r="E380" s="99" t="s">
        <v>99</v>
      </c>
      <c r="F380" s="101" t="s">
        <v>454</v>
      </c>
      <c r="G380" s="148">
        <v>14984</v>
      </c>
      <c r="H380" s="97">
        <v>13396</v>
      </c>
      <c r="I380" s="97">
        <v>5664.57</v>
      </c>
      <c r="J380" s="148">
        <v>7104</v>
      </c>
      <c r="K380" s="148">
        <v>7104</v>
      </c>
      <c r="L380" s="148">
        <v>0</v>
      </c>
      <c r="M380" s="98">
        <v>1</v>
      </c>
      <c r="N380" s="99" t="s">
        <v>41</v>
      </c>
      <c r="O380" s="99"/>
      <c r="P380" s="77">
        <v>1</v>
      </c>
    </row>
    <row r="381" spans="1:16">
      <c r="A381" s="99" t="s">
        <v>423</v>
      </c>
      <c r="B381" s="99" t="s">
        <v>782</v>
      </c>
      <c r="C381" s="99" t="s">
        <v>347</v>
      </c>
      <c r="D381" s="99" t="s">
        <v>107</v>
      </c>
      <c r="E381" s="99" t="s">
        <v>99</v>
      </c>
      <c r="F381" s="101" t="s">
        <v>454</v>
      </c>
      <c r="G381" s="148">
        <v>6584</v>
      </c>
      <c r="H381" s="97">
        <v>5892</v>
      </c>
      <c r="I381" s="97">
        <v>1921.91</v>
      </c>
      <c r="J381" s="148">
        <v>3300</v>
      </c>
      <c r="K381" s="148">
        <v>3300</v>
      </c>
      <c r="L381" s="148">
        <v>0</v>
      </c>
      <c r="M381" s="98">
        <v>1</v>
      </c>
      <c r="N381" s="99" t="s">
        <v>41</v>
      </c>
      <c r="O381" s="99" t="s">
        <v>419</v>
      </c>
      <c r="P381" s="77">
        <v>1</v>
      </c>
    </row>
    <row r="382" spans="1:16" s="48" customFormat="1">
      <c r="A382" s="102"/>
      <c r="B382" s="102"/>
      <c r="C382" s="102"/>
      <c r="D382" s="102"/>
      <c r="E382" s="102"/>
      <c r="F382" s="149"/>
      <c r="G382" s="150"/>
      <c r="H382" s="150"/>
      <c r="I382" s="150"/>
      <c r="J382" s="150"/>
      <c r="K382" s="150"/>
      <c r="L382" s="150"/>
      <c r="M382" s="151"/>
      <c r="N382" s="102"/>
      <c r="O382" s="102"/>
      <c r="P382" s="85"/>
    </row>
    <row r="383" spans="1:16" s="48" customFormat="1">
      <c r="A383" s="108" t="s">
        <v>448</v>
      </c>
      <c r="B383" s="105"/>
      <c r="C383" s="105"/>
      <c r="D383" s="105"/>
      <c r="E383" s="139"/>
      <c r="F383" s="140"/>
      <c r="G383" s="106"/>
      <c r="H383" s="106"/>
      <c r="I383" s="106"/>
      <c r="J383" s="106"/>
      <c r="K383" s="106"/>
      <c r="L383" s="106"/>
      <c r="M383" s="107"/>
      <c r="N383" s="105"/>
      <c r="O383" s="105"/>
      <c r="P383" s="85"/>
    </row>
    <row r="384" spans="1:16">
      <c r="A384" s="99" t="s">
        <v>513</v>
      </c>
      <c r="B384" s="99" t="s">
        <v>514</v>
      </c>
      <c r="C384" s="99" t="s">
        <v>515</v>
      </c>
      <c r="D384" s="99" t="s">
        <v>214</v>
      </c>
      <c r="E384" s="99" t="s">
        <v>99</v>
      </c>
      <c r="F384" s="101" t="s">
        <v>516</v>
      </c>
      <c r="G384" s="148">
        <v>9900</v>
      </c>
      <c r="H384" s="97">
        <v>8844</v>
      </c>
      <c r="I384" s="97">
        <v>150.35</v>
      </c>
      <c r="J384" s="148">
        <v>7364</v>
      </c>
      <c r="K384" s="148">
        <v>5614</v>
      </c>
      <c r="L384" s="148">
        <v>1750</v>
      </c>
      <c r="M384" s="98">
        <v>0.76200000000000001</v>
      </c>
      <c r="N384" s="99" t="s">
        <v>41</v>
      </c>
      <c r="O384" s="99" t="s">
        <v>493</v>
      </c>
      <c r="P384" s="77">
        <v>1</v>
      </c>
    </row>
    <row r="385" spans="1:16" s="48" customFormat="1">
      <c r="A385" s="102"/>
      <c r="B385" s="102"/>
      <c r="C385" s="102"/>
      <c r="D385" s="102"/>
      <c r="E385" s="102"/>
      <c r="F385" s="149"/>
      <c r="G385" s="150"/>
      <c r="H385" s="150"/>
      <c r="I385" s="150"/>
      <c r="J385" s="150"/>
      <c r="K385" s="150"/>
      <c r="L385" s="150"/>
      <c r="M385" s="151"/>
      <c r="N385" s="102"/>
      <c r="O385" s="102"/>
      <c r="P385" s="85"/>
    </row>
    <row r="386" spans="1:16" s="48" customFormat="1">
      <c r="A386" s="108" t="s">
        <v>350</v>
      </c>
      <c r="B386" s="105"/>
      <c r="C386" s="105"/>
      <c r="D386" s="105"/>
      <c r="E386" s="139"/>
      <c r="F386" s="140"/>
      <c r="G386" s="106"/>
      <c r="H386" s="106"/>
      <c r="I386" s="106"/>
      <c r="J386" s="106"/>
      <c r="K386" s="106"/>
      <c r="L386" s="106"/>
      <c r="M386" s="107"/>
      <c r="N386" s="105"/>
      <c r="O386" s="105"/>
      <c r="P386" s="85"/>
    </row>
    <row r="387" spans="1:16">
      <c r="A387" s="99" t="s">
        <v>328</v>
      </c>
      <c r="B387" s="99" t="s">
        <v>783</v>
      </c>
      <c r="C387" s="99" t="s">
        <v>357</v>
      </c>
      <c r="D387" s="99" t="s">
        <v>107</v>
      </c>
      <c r="E387" s="99" t="s">
        <v>99</v>
      </c>
      <c r="F387" s="101" t="s">
        <v>454</v>
      </c>
      <c r="G387" s="148">
        <v>14984</v>
      </c>
      <c r="H387" s="97">
        <v>13396</v>
      </c>
      <c r="I387" s="97">
        <v>5664.57</v>
      </c>
      <c r="J387" s="148">
        <v>7104</v>
      </c>
      <c r="K387" s="148">
        <v>7104</v>
      </c>
      <c r="L387" s="148">
        <v>0</v>
      </c>
      <c r="M387" s="98">
        <v>1</v>
      </c>
      <c r="N387" s="99" t="s">
        <v>41</v>
      </c>
      <c r="O387" s="99"/>
      <c r="P387" s="77">
        <v>1</v>
      </c>
    </row>
    <row r="388" spans="1:16">
      <c r="A388" s="99" t="s">
        <v>329</v>
      </c>
      <c r="B388" s="99" t="s">
        <v>784</v>
      </c>
      <c r="C388" s="99" t="s">
        <v>357</v>
      </c>
      <c r="D388" s="99" t="s">
        <v>107</v>
      </c>
      <c r="E388" s="99" t="s">
        <v>99</v>
      </c>
      <c r="F388" s="101" t="s">
        <v>454</v>
      </c>
      <c r="G388" s="148">
        <v>11076</v>
      </c>
      <c r="H388" s="97">
        <v>9910</v>
      </c>
      <c r="I388" s="97">
        <v>3793.24</v>
      </c>
      <c r="J388" s="148">
        <v>5182</v>
      </c>
      <c r="K388" s="148">
        <v>5182</v>
      </c>
      <c r="L388" s="148">
        <v>0</v>
      </c>
      <c r="M388" s="98">
        <v>1</v>
      </c>
      <c r="N388" s="99" t="s">
        <v>41</v>
      </c>
      <c r="O388" s="99"/>
      <c r="P388" s="77">
        <v>1</v>
      </c>
    </row>
    <row r="389" spans="1:16">
      <c r="A389" s="99" t="s">
        <v>330</v>
      </c>
      <c r="B389" s="99" t="s">
        <v>785</v>
      </c>
      <c r="C389" s="99" t="s">
        <v>357</v>
      </c>
      <c r="D389" s="99" t="s">
        <v>214</v>
      </c>
      <c r="E389" s="99" t="s">
        <v>102</v>
      </c>
      <c r="F389" s="101" t="s">
        <v>228</v>
      </c>
      <c r="G389" s="148">
        <v>32730</v>
      </c>
      <c r="H389" s="97">
        <v>30009</v>
      </c>
      <c r="I389" s="97">
        <v>5974.77</v>
      </c>
      <c r="J389" s="148">
        <v>21547.33</v>
      </c>
      <c r="K389" s="148">
        <v>21547.33</v>
      </c>
      <c r="L389" s="148">
        <v>0</v>
      </c>
      <c r="M389" s="98">
        <v>1</v>
      </c>
      <c r="N389" s="99" t="s">
        <v>41</v>
      </c>
      <c r="O389" s="99"/>
      <c r="P389" s="77">
        <v>1</v>
      </c>
    </row>
    <row r="390" spans="1:16">
      <c r="A390" s="99" t="s">
        <v>424</v>
      </c>
      <c r="B390" s="99" t="s">
        <v>786</v>
      </c>
      <c r="C390" s="99" t="s">
        <v>357</v>
      </c>
      <c r="D390" s="99" t="s">
        <v>107</v>
      </c>
      <c r="E390" s="99" t="s">
        <v>99</v>
      </c>
      <c r="F390" s="101" t="s">
        <v>454</v>
      </c>
      <c r="G390" s="148">
        <v>3584</v>
      </c>
      <c r="H390" s="97">
        <v>3212</v>
      </c>
      <c r="I390" s="97">
        <v>960.96</v>
      </c>
      <c r="J390" s="148">
        <v>1580</v>
      </c>
      <c r="K390" s="148">
        <v>1580</v>
      </c>
      <c r="L390" s="148">
        <v>0</v>
      </c>
      <c r="M390" s="98">
        <v>1</v>
      </c>
      <c r="N390" s="99" t="s">
        <v>41</v>
      </c>
      <c r="O390" s="99" t="s">
        <v>419</v>
      </c>
      <c r="P390" s="77">
        <v>1</v>
      </c>
    </row>
    <row r="391" spans="1:16">
      <c r="A391" s="103"/>
      <c r="B391" s="103"/>
      <c r="C391" s="103"/>
      <c r="D391" s="103"/>
      <c r="E391" s="103"/>
      <c r="F391" s="142"/>
      <c r="G391" s="152"/>
      <c r="H391" s="143"/>
      <c r="I391" s="143"/>
      <c r="J391" s="152"/>
      <c r="K391" s="152"/>
      <c r="L391" s="152"/>
      <c r="M391" s="144"/>
      <c r="N391" s="103"/>
      <c r="O391" s="103"/>
    </row>
    <row r="392" spans="1:16" s="48" customFormat="1">
      <c r="A392" s="108" t="s">
        <v>348</v>
      </c>
      <c r="B392" s="105"/>
      <c r="C392" s="105"/>
      <c r="D392" s="105"/>
      <c r="E392" s="139"/>
      <c r="F392" s="140"/>
      <c r="G392" s="106"/>
      <c r="H392" s="106"/>
      <c r="I392" s="106"/>
      <c r="J392" s="106"/>
      <c r="K392" s="106"/>
      <c r="L392" s="106"/>
      <c r="M392" s="107"/>
      <c r="N392" s="105"/>
      <c r="O392" s="105"/>
      <c r="P392" s="85"/>
    </row>
    <row r="393" spans="1:16">
      <c r="A393" s="99" t="s">
        <v>342</v>
      </c>
      <c r="B393" s="99" t="s">
        <v>787</v>
      </c>
      <c r="C393" s="99" t="s">
        <v>349</v>
      </c>
      <c r="D393" s="99" t="s">
        <v>107</v>
      </c>
      <c r="E393" s="99" t="s">
        <v>99</v>
      </c>
      <c r="F393" s="101" t="s">
        <v>454</v>
      </c>
      <c r="G393" s="148">
        <v>11400</v>
      </c>
      <c r="H393" s="97">
        <v>10184</v>
      </c>
      <c r="I393" s="97">
        <v>3793.24</v>
      </c>
      <c r="J393" s="148">
        <v>5322</v>
      </c>
      <c r="K393" s="148">
        <v>5322</v>
      </c>
      <c r="L393" s="148">
        <v>0</v>
      </c>
      <c r="M393" s="98">
        <v>1</v>
      </c>
      <c r="N393" s="99" t="s">
        <v>42</v>
      </c>
      <c r="O393" s="99"/>
      <c r="P393" s="77">
        <v>1</v>
      </c>
    </row>
    <row r="394" spans="1:16">
      <c r="A394" s="99" t="s">
        <v>343</v>
      </c>
      <c r="B394" s="99" t="s">
        <v>788</v>
      </c>
      <c r="C394" s="99" t="s">
        <v>349</v>
      </c>
      <c r="D394" s="99" t="s">
        <v>107</v>
      </c>
      <c r="E394" s="99" t="s">
        <v>102</v>
      </c>
      <c r="F394" s="101" t="s">
        <v>454</v>
      </c>
      <c r="G394" s="148">
        <v>34000</v>
      </c>
      <c r="H394" s="97">
        <v>31178</v>
      </c>
      <c r="I394" s="97">
        <v>3886.93</v>
      </c>
      <c r="J394" s="148">
        <v>17201.169999999998</v>
      </c>
      <c r="K394" s="148">
        <v>8600.58</v>
      </c>
      <c r="L394" s="148">
        <v>8600.58</v>
      </c>
      <c r="M394" s="98">
        <v>0.5</v>
      </c>
      <c r="N394" s="99" t="s">
        <v>42</v>
      </c>
      <c r="O394" s="99"/>
      <c r="P394" s="77">
        <v>1</v>
      </c>
    </row>
    <row r="395" spans="1:16" s="48" customFormat="1">
      <c r="A395" s="102"/>
      <c r="B395" s="102"/>
      <c r="C395" s="102"/>
      <c r="D395" s="102"/>
      <c r="E395" s="102"/>
      <c r="F395" s="149"/>
      <c r="G395" s="150"/>
      <c r="H395" s="150"/>
      <c r="I395" s="150"/>
      <c r="J395" s="150"/>
      <c r="K395" s="150"/>
      <c r="L395" s="150"/>
      <c r="M395" s="151"/>
      <c r="N395" s="102"/>
      <c r="O395" s="102"/>
      <c r="P395" s="85"/>
    </row>
    <row r="396" spans="1:16" s="48" customFormat="1">
      <c r="A396" s="108" t="s">
        <v>345</v>
      </c>
      <c r="B396" s="105"/>
      <c r="C396" s="105"/>
      <c r="D396" s="105"/>
      <c r="E396" s="139"/>
      <c r="F396" s="140"/>
      <c r="G396" s="106"/>
      <c r="H396" s="106"/>
      <c r="I396" s="106"/>
      <c r="J396" s="106"/>
      <c r="K396" s="106"/>
      <c r="L396" s="106"/>
      <c r="M396" s="107"/>
      <c r="N396" s="105"/>
      <c r="O396" s="105"/>
      <c r="P396" s="85"/>
    </row>
    <row r="397" spans="1:16" s="48" customFormat="1">
      <c r="A397" s="96" t="s">
        <v>317</v>
      </c>
      <c r="B397" s="99" t="s">
        <v>526</v>
      </c>
      <c r="C397" s="99" t="s">
        <v>316</v>
      </c>
      <c r="D397" s="99" t="s">
        <v>77</v>
      </c>
      <c r="E397" s="96" t="s">
        <v>101</v>
      </c>
      <c r="F397" s="101" t="s">
        <v>856</v>
      </c>
      <c r="G397" s="97">
        <v>15975.7</v>
      </c>
      <c r="H397" s="97">
        <v>14961.66</v>
      </c>
      <c r="I397" s="97">
        <v>135.35</v>
      </c>
      <c r="J397" s="97">
        <v>14713.9</v>
      </c>
      <c r="K397" s="97">
        <v>2850.04</v>
      </c>
      <c r="L397" s="97">
        <v>11863.86</v>
      </c>
      <c r="M397" s="98">
        <v>0.19400000000000001</v>
      </c>
      <c r="N397" s="99" t="s">
        <v>41</v>
      </c>
      <c r="O397" s="99"/>
      <c r="P397" s="85">
        <v>1</v>
      </c>
    </row>
    <row r="398" spans="1:16" s="48" customFormat="1">
      <c r="A398" s="99" t="s">
        <v>317</v>
      </c>
      <c r="B398" s="99" t="s">
        <v>526</v>
      </c>
      <c r="C398" s="99" t="s">
        <v>316</v>
      </c>
      <c r="D398" s="99" t="s">
        <v>77</v>
      </c>
      <c r="E398" s="99" t="s">
        <v>98</v>
      </c>
      <c r="F398" s="101" t="s">
        <v>856</v>
      </c>
      <c r="G398" s="97">
        <v>118052.3</v>
      </c>
      <c r="H398" s="97">
        <v>110559.05</v>
      </c>
      <c r="I398" s="97">
        <v>1729.32</v>
      </c>
      <c r="J398" s="97">
        <v>108728.23</v>
      </c>
      <c r="K398" s="97">
        <v>32464.78</v>
      </c>
      <c r="L398" s="97">
        <v>76263.45</v>
      </c>
      <c r="M398" s="98">
        <v>0.29899999999999999</v>
      </c>
      <c r="N398" s="99" t="s">
        <v>41</v>
      </c>
      <c r="O398" s="99"/>
      <c r="P398" s="85"/>
    </row>
    <row r="399" spans="1:16" s="48" customFormat="1">
      <c r="A399" s="96" t="s">
        <v>317</v>
      </c>
      <c r="B399" s="99" t="s">
        <v>526</v>
      </c>
      <c r="C399" s="99" t="s">
        <v>316</v>
      </c>
      <c r="D399" s="99" t="s">
        <v>77</v>
      </c>
      <c r="E399" s="96" t="s">
        <v>99</v>
      </c>
      <c r="F399" s="101" t="s">
        <v>856</v>
      </c>
      <c r="G399" s="97">
        <v>28800</v>
      </c>
      <c r="H399" s="97">
        <v>26822.09</v>
      </c>
      <c r="I399" s="97">
        <v>114.39</v>
      </c>
      <c r="J399" s="97">
        <v>26682.16</v>
      </c>
      <c r="K399" s="97">
        <v>3274.31</v>
      </c>
      <c r="L399" s="97">
        <v>23407.85</v>
      </c>
      <c r="M399" s="98">
        <v>0.123</v>
      </c>
      <c r="N399" s="99" t="s">
        <v>41</v>
      </c>
      <c r="O399" s="99"/>
      <c r="P399" s="85"/>
    </row>
    <row r="400" spans="1:16" s="48" customFormat="1">
      <c r="A400" s="96" t="s">
        <v>433</v>
      </c>
      <c r="B400" s="99" t="s">
        <v>434</v>
      </c>
      <c r="C400" s="99" t="s">
        <v>316</v>
      </c>
      <c r="D400" s="99" t="s">
        <v>267</v>
      </c>
      <c r="E400" s="96" t="s">
        <v>99</v>
      </c>
      <c r="F400" s="101" t="s">
        <v>852</v>
      </c>
      <c r="G400" s="97">
        <v>220800</v>
      </c>
      <c r="H400" s="97">
        <v>200632.1</v>
      </c>
      <c r="I400" s="97">
        <v>1857.73</v>
      </c>
      <c r="J400" s="97">
        <v>195724.28</v>
      </c>
      <c r="K400" s="97">
        <v>139843.53</v>
      </c>
      <c r="L400" s="97">
        <v>55880.76</v>
      </c>
      <c r="M400" s="98">
        <v>0.71399999999999997</v>
      </c>
      <c r="N400" s="99" t="s">
        <v>44</v>
      </c>
      <c r="O400" s="99" t="s">
        <v>435</v>
      </c>
      <c r="P400" s="85">
        <v>1</v>
      </c>
    </row>
    <row r="401" spans="1:16" s="48" customFormat="1">
      <c r="A401" s="99" t="s">
        <v>320</v>
      </c>
      <c r="B401" s="99" t="s">
        <v>527</v>
      </c>
      <c r="C401" s="99" t="s">
        <v>316</v>
      </c>
      <c r="D401" s="99" t="s">
        <v>77</v>
      </c>
      <c r="E401" s="99" t="s">
        <v>98</v>
      </c>
      <c r="F401" s="101" t="s">
        <v>857</v>
      </c>
      <c r="G401" s="97">
        <v>26864</v>
      </c>
      <c r="H401" s="97">
        <v>25158.84</v>
      </c>
      <c r="I401" s="97">
        <v>356.19</v>
      </c>
      <c r="J401" s="97">
        <v>24866.68</v>
      </c>
      <c r="K401" s="97">
        <v>14849.3</v>
      </c>
      <c r="L401" s="97">
        <v>10017.379999999999</v>
      </c>
      <c r="M401" s="98">
        <v>0.59699999999999998</v>
      </c>
      <c r="N401" s="99" t="s">
        <v>41</v>
      </c>
      <c r="O401" s="99"/>
      <c r="P401" s="85">
        <v>1</v>
      </c>
    </row>
    <row r="402" spans="1:16" s="48" customFormat="1">
      <c r="A402" s="96" t="s">
        <v>320</v>
      </c>
      <c r="B402" s="99" t="s">
        <v>527</v>
      </c>
      <c r="C402" s="99" t="s">
        <v>316</v>
      </c>
      <c r="D402" s="99" t="s">
        <v>77</v>
      </c>
      <c r="E402" s="96" t="s">
        <v>99</v>
      </c>
      <c r="F402" s="101" t="s">
        <v>857</v>
      </c>
      <c r="G402" s="97">
        <v>151200</v>
      </c>
      <c r="H402" s="97">
        <v>140815.97</v>
      </c>
      <c r="I402" s="97">
        <v>2179.09</v>
      </c>
      <c r="J402" s="97">
        <v>138397.42000000001</v>
      </c>
      <c r="K402" s="97">
        <v>84049.69</v>
      </c>
      <c r="L402" s="97">
        <v>54347.73</v>
      </c>
      <c r="M402" s="98">
        <v>0.60699999999999998</v>
      </c>
      <c r="N402" s="99" t="s">
        <v>41</v>
      </c>
      <c r="O402" s="99"/>
      <c r="P402" s="85"/>
    </row>
    <row r="403" spans="1:16" s="48" customFormat="1">
      <c r="A403" s="96" t="s">
        <v>864</v>
      </c>
      <c r="B403" s="99" t="s">
        <v>865</v>
      </c>
      <c r="C403" s="99" t="s">
        <v>316</v>
      </c>
      <c r="D403" s="99" t="s">
        <v>806</v>
      </c>
      <c r="E403" s="96" t="s">
        <v>99</v>
      </c>
      <c r="F403" s="101" t="s">
        <v>852</v>
      </c>
      <c r="G403" s="97">
        <v>117600</v>
      </c>
      <c r="H403" s="97">
        <v>106858.4</v>
      </c>
      <c r="I403" s="97">
        <v>1471.02</v>
      </c>
      <c r="J403" s="97">
        <v>103767.03999999999</v>
      </c>
      <c r="K403" s="97">
        <v>16662.59</v>
      </c>
      <c r="L403" s="97">
        <v>87104.45</v>
      </c>
      <c r="M403" s="98">
        <v>0.161</v>
      </c>
      <c r="N403" s="99" t="s">
        <v>41</v>
      </c>
      <c r="O403" s="99" t="s">
        <v>861</v>
      </c>
      <c r="P403" s="85">
        <v>1</v>
      </c>
    </row>
    <row r="404" spans="1:16" s="48" customFormat="1">
      <c r="A404" s="96" t="s">
        <v>884</v>
      </c>
      <c r="B404" s="99" t="s">
        <v>885</v>
      </c>
      <c r="C404" s="99" t="s">
        <v>316</v>
      </c>
      <c r="D404" s="99" t="s">
        <v>806</v>
      </c>
      <c r="E404" s="96" t="s">
        <v>99</v>
      </c>
      <c r="F404" s="101" t="s">
        <v>852</v>
      </c>
      <c r="G404" s="97">
        <v>278400</v>
      </c>
      <c r="H404" s="97">
        <v>252970.91</v>
      </c>
      <c r="I404" s="97">
        <v>1335.71</v>
      </c>
      <c r="J404" s="97">
        <v>247764.9</v>
      </c>
      <c r="K404" s="97">
        <v>1528.98</v>
      </c>
      <c r="L404" s="97">
        <v>246235.92</v>
      </c>
      <c r="M404" s="98">
        <v>6.0000000000000001E-3</v>
      </c>
      <c r="N404" s="99" t="s">
        <v>41</v>
      </c>
      <c r="O404" s="99" t="s">
        <v>874</v>
      </c>
      <c r="P404" s="85">
        <v>1</v>
      </c>
    </row>
    <row r="405" spans="1:16" s="48" customFormat="1">
      <c r="A405" s="96" t="s">
        <v>299</v>
      </c>
      <c r="B405" s="99" t="s">
        <v>537</v>
      </c>
      <c r="C405" s="99" t="s">
        <v>316</v>
      </c>
      <c r="D405" s="99" t="s">
        <v>267</v>
      </c>
      <c r="E405" s="96" t="s">
        <v>99</v>
      </c>
      <c r="F405" s="101" t="s">
        <v>852</v>
      </c>
      <c r="G405" s="97">
        <v>115200</v>
      </c>
      <c r="H405" s="97">
        <v>104677.62</v>
      </c>
      <c r="I405" s="97">
        <v>1619.94</v>
      </c>
      <c r="J405" s="97">
        <v>101479.16</v>
      </c>
      <c r="K405" s="97">
        <v>69770.95</v>
      </c>
      <c r="L405" s="97">
        <v>31708.21</v>
      </c>
      <c r="M405" s="98">
        <v>0.68799999999999994</v>
      </c>
      <c r="N405" s="99" t="s">
        <v>44</v>
      </c>
      <c r="O405" s="99" t="s">
        <v>298</v>
      </c>
      <c r="P405" s="85">
        <v>1</v>
      </c>
    </row>
    <row r="406" spans="1:16" s="48" customFormat="1">
      <c r="A406" s="96" t="s">
        <v>533</v>
      </c>
      <c r="B406" s="99" t="s">
        <v>534</v>
      </c>
      <c r="C406" s="99" t="s">
        <v>316</v>
      </c>
      <c r="D406" s="99" t="s">
        <v>535</v>
      </c>
      <c r="E406" s="96" t="s">
        <v>99</v>
      </c>
      <c r="F406" s="101" t="s">
        <v>478</v>
      </c>
      <c r="G406" s="97">
        <v>1200</v>
      </c>
      <c r="H406" s="97">
        <v>1072</v>
      </c>
      <c r="I406" s="97">
        <v>0</v>
      </c>
      <c r="J406" s="97">
        <v>0</v>
      </c>
      <c r="K406" s="97">
        <v>0</v>
      </c>
      <c r="L406" s="97">
        <v>0</v>
      </c>
      <c r="M406" s="98">
        <v>0</v>
      </c>
      <c r="N406" s="99" t="s">
        <v>41</v>
      </c>
      <c r="O406" s="99" t="s">
        <v>536</v>
      </c>
      <c r="P406" s="85"/>
    </row>
    <row r="407" spans="1:16" s="48" customFormat="1">
      <c r="A407" s="96" t="s">
        <v>533</v>
      </c>
      <c r="B407" s="99" t="s">
        <v>534</v>
      </c>
      <c r="C407" s="99" t="s">
        <v>316</v>
      </c>
      <c r="D407" s="99" t="s">
        <v>535</v>
      </c>
      <c r="E407" s="96" t="s">
        <v>102</v>
      </c>
      <c r="F407" s="101" t="s">
        <v>478</v>
      </c>
      <c r="G407" s="97">
        <v>33000</v>
      </c>
      <c r="H407" s="97">
        <v>32160</v>
      </c>
      <c r="I407" s="97">
        <v>6285.28</v>
      </c>
      <c r="J407" s="97">
        <v>25796.57</v>
      </c>
      <c r="K407" s="97">
        <v>10386.51</v>
      </c>
      <c r="L407" s="97">
        <v>15410.06</v>
      </c>
      <c r="M407" s="98">
        <v>0.40300000000000002</v>
      </c>
      <c r="N407" s="99" t="s">
        <v>41</v>
      </c>
      <c r="O407" s="99" t="s">
        <v>536</v>
      </c>
      <c r="P407" s="85">
        <v>1</v>
      </c>
    </row>
    <row r="408" spans="1:16">
      <c r="A408" s="103"/>
      <c r="B408" s="103"/>
      <c r="C408" s="103"/>
      <c r="D408" s="103"/>
      <c r="E408" s="103"/>
      <c r="F408" s="142"/>
      <c r="G408" s="152"/>
      <c r="H408" s="143"/>
      <c r="I408" s="143"/>
      <c r="J408" s="152"/>
      <c r="K408" s="152"/>
      <c r="L408" s="152"/>
      <c r="M408" s="144"/>
      <c r="N408" s="103"/>
      <c r="O408" s="103"/>
    </row>
    <row r="409" spans="1:16" s="48" customFormat="1">
      <c r="A409" s="108" t="s">
        <v>413</v>
      </c>
      <c r="B409" s="105"/>
      <c r="C409" s="105"/>
      <c r="D409" s="105"/>
      <c r="E409" s="139"/>
      <c r="F409" s="140"/>
      <c r="G409" s="106"/>
      <c r="H409" s="106"/>
      <c r="I409" s="106"/>
      <c r="J409" s="106"/>
      <c r="K409" s="106"/>
      <c r="L409" s="106"/>
      <c r="M409" s="107"/>
      <c r="N409" s="105"/>
      <c r="O409" s="105"/>
      <c r="P409" s="85"/>
    </row>
    <row r="410" spans="1:16" s="48" customFormat="1">
      <c r="A410" s="99" t="s">
        <v>321</v>
      </c>
      <c r="B410" s="99" t="s">
        <v>528</v>
      </c>
      <c r="C410" s="99" t="s">
        <v>412</v>
      </c>
      <c r="D410" s="99" t="s">
        <v>322</v>
      </c>
      <c r="E410" s="99" t="s">
        <v>99</v>
      </c>
      <c r="F410" s="101" t="s">
        <v>856</v>
      </c>
      <c r="G410" s="97">
        <v>10800</v>
      </c>
      <c r="H410" s="97">
        <v>10058.280000000001</v>
      </c>
      <c r="I410" s="97">
        <v>38.520000000000003</v>
      </c>
      <c r="J410" s="97">
        <v>10009.14</v>
      </c>
      <c r="K410" s="97">
        <v>102.51</v>
      </c>
      <c r="L410" s="97">
        <v>9906.6299999999992</v>
      </c>
      <c r="M410" s="98">
        <v>0.01</v>
      </c>
      <c r="N410" s="99" t="s">
        <v>44</v>
      </c>
      <c r="O410" s="99"/>
      <c r="P410" s="85">
        <v>1</v>
      </c>
    </row>
    <row r="411" spans="1:16" s="48" customFormat="1">
      <c r="A411" s="99" t="s">
        <v>321</v>
      </c>
      <c r="B411" s="99" t="s">
        <v>528</v>
      </c>
      <c r="C411" s="99" t="s">
        <v>412</v>
      </c>
      <c r="D411" s="99" t="s">
        <v>322</v>
      </c>
      <c r="E411" s="99" t="s">
        <v>102</v>
      </c>
      <c r="F411" s="101" t="s">
        <v>856</v>
      </c>
      <c r="G411" s="97">
        <v>10000</v>
      </c>
      <c r="H411" s="97">
        <v>9313.23</v>
      </c>
      <c r="I411" s="97">
        <v>58.24</v>
      </c>
      <c r="J411" s="97">
        <v>9245.19</v>
      </c>
      <c r="K411" s="97">
        <v>0.01</v>
      </c>
      <c r="L411" s="97">
        <v>9245.18</v>
      </c>
      <c r="M411" s="98">
        <v>0</v>
      </c>
      <c r="N411" s="99" t="s">
        <v>44</v>
      </c>
      <c r="O411" s="99"/>
      <c r="P411" s="85"/>
    </row>
    <row r="412" spans="1:16" s="48" customFormat="1">
      <c r="A412" s="102"/>
      <c r="B412" s="102"/>
      <c r="C412" s="102"/>
      <c r="D412" s="102"/>
      <c r="E412" s="102"/>
      <c r="F412" s="149"/>
      <c r="G412" s="150"/>
      <c r="H412" s="150"/>
      <c r="I412" s="150"/>
      <c r="J412" s="150"/>
      <c r="K412" s="150"/>
      <c r="L412" s="150"/>
      <c r="M412" s="151"/>
      <c r="N412" s="102"/>
      <c r="O412" s="102"/>
      <c r="P412" s="85"/>
    </row>
    <row r="413" spans="1:16" s="48" customFormat="1">
      <c r="A413" s="108" t="s">
        <v>346</v>
      </c>
      <c r="B413" s="105"/>
      <c r="C413" s="105"/>
      <c r="D413" s="105"/>
      <c r="E413" s="139"/>
      <c r="F413" s="140"/>
      <c r="G413" s="106"/>
      <c r="H413" s="106"/>
      <c r="I413" s="106"/>
      <c r="J413" s="106"/>
      <c r="K413" s="106"/>
      <c r="L413" s="106"/>
      <c r="M413" s="107"/>
      <c r="N413" s="105"/>
      <c r="O413" s="105"/>
      <c r="P413" s="85"/>
    </row>
    <row r="414" spans="1:16" s="48" customFormat="1">
      <c r="A414" s="96" t="s">
        <v>414</v>
      </c>
      <c r="B414" s="99" t="s">
        <v>436</v>
      </c>
      <c r="C414" s="99" t="s">
        <v>323</v>
      </c>
      <c r="D414" s="153" t="s">
        <v>267</v>
      </c>
      <c r="E414" s="96" t="s">
        <v>99</v>
      </c>
      <c r="F414" s="101" t="s">
        <v>852</v>
      </c>
      <c r="G414" s="97">
        <v>67200</v>
      </c>
      <c r="H414" s="97">
        <v>61061.94</v>
      </c>
      <c r="I414" s="97">
        <v>545.77</v>
      </c>
      <c r="J414" s="97">
        <v>59588.85</v>
      </c>
      <c r="K414" s="97">
        <v>32709.9</v>
      </c>
      <c r="L414" s="97">
        <v>26878.95</v>
      </c>
      <c r="M414" s="98">
        <v>0.54900000000000004</v>
      </c>
      <c r="N414" s="99" t="s">
        <v>44</v>
      </c>
      <c r="O414" s="99" t="s">
        <v>415</v>
      </c>
      <c r="P414" s="85">
        <v>1</v>
      </c>
    </row>
    <row r="415" spans="1:16" s="48" customFormat="1">
      <c r="A415" s="99" t="s">
        <v>318</v>
      </c>
      <c r="B415" s="99" t="s">
        <v>529</v>
      </c>
      <c r="C415" s="99" t="s">
        <v>323</v>
      </c>
      <c r="D415" s="99" t="s">
        <v>77</v>
      </c>
      <c r="E415" s="99" t="s">
        <v>101</v>
      </c>
      <c r="F415" s="101" t="s">
        <v>856</v>
      </c>
      <c r="G415" s="97">
        <v>7051.32</v>
      </c>
      <c r="H415" s="97">
        <v>6603.75</v>
      </c>
      <c r="I415" s="97">
        <v>80.709999999999994</v>
      </c>
      <c r="J415" s="97">
        <v>6521.03</v>
      </c>
      <c r="K415" s="97">
        <v>1394.15</v>
      </c>
      <c r="L415" s="97">
        <v>5126.88</v>
      </c>
      <c r="M415" s="98">
        <v>0.214</v>
      </c>
      <c r="N415" s="99" t="s">
        <v>44</v>
      </c>
      <c r="O415" s="99"/>
      <c r="P415" s="85">
        <v>1</v>
      </c>
    </row>
    <row r="416" spans="1:16" s="48" customFormat="1">
      <c r="A416" s="96" t="s">
        <v>318</v>
      </c>
      <c r="B416" s="99" t="s">
        <v>529</v>
      </c>
      <c r="C416" s="99" t="s">
        <v>323</v>
      </c>
      <c r="D416" s="99" t="s">
        <v>77</v>
      </c>
      <c r="E416" s="96" t="s">
        <v>98</v>
      </c>
      <c r="F416" s="101" t="s">
        <v>856</v>
      </c>
      <c r="G416" s="97">
        <v>25068.68</v>
      </c>
      <c r="H416" s="97">
        <v>23477.47</v>
      </c>
      <c r="I416" s="97">
        <v>286.94</v>
      </c>
      <c r="J416" s="97">
        <v>23183.4</v>
      </c>
      <c r="K416" s="97">
        <v>9017.02</v>
      </c>
      <c r="L416" s="97">
        <v>14166.38</v>
      </c>
      <c r="M416" s="98">
        <v>0.38900000000000001</v>
      </c>
      <c r="N416" s="99" t="s">
        <v>44</v>
      </c>
      <c r="O416" s="99"/>
      <c r="P416" s="85"/>
    </row>
    <row r="417" spans="1:16" s="48" customFormat="1">
      <c r="A417" s="99" t="s">
        <v>318</v>
      </c>
      <c r="B417" s="99" t="s">
        <v>529</v>
      </c>
      <c r="C417" s="99" t="s">
        <v>323</v>
      </c>
      <c r="D417" s="99" t="s">
        <v>77</v>
      </c>
      <c r="E417" s="99" t="s">
        <v>99</v>
      </c>
      <c r="F417" s="101" t="s">
        <v>856</v>
      </c>
      <c r="G417" s="97">
        <v>87600</v>
      </c>
      <c r="H417" s="97">
        <v>81583.850000000006</v>
      </c>
      <c r="I417" s="97">
        <v>811.7</v>
      </c>
      <c r="J417" s="97">
        <v>80664.100000000006</v>
      </c>
      <c r="K417" s="97">
        <v>40638.300000000003</v>
      </c>
      <c r="L417" s="97">
        <v>40025.800000000003</v>
      </c>
      <c r="M417" s="98">
        <v>0.504</v>
      </c>
      <c r="N417" s="99" t="s">
        <v>44</v>
      </c>
      <c r="O417" s="99"/>
      <c r="P417" s="85"/>
    </row>
    <row r="418" spans="1:16" s="48" customFormat="1">
      <c r="A418" s="96" t="s">
        <v>319</v>
      </c>
      <c r="B418" s="99" t="s">
        <v>530</v>
      </c>
      <c r="C418" s="99" t="s">
        <v>323</v>
      </c>
      <c r="D418" s="99" t="s">
        <v>77</v>
      </c>
      <c r="E418" s="96" t="s">
        <v>101</v>
      </c>
      <c r="F418" s="101" t="s">
        <v>857</v>
      </c>
      <c r="G418" s="97">
        <v>20168.580000000002</v>
      </c>
      <c r="H418" s="97">
        <v>18888.400000000001</v>
      </c>
      <c r="I418" s="97">
        <v>181.78</v>
      </c>
      <c r="J418" s="97">
        <v>18461.27</v>
      </c>
      <c r="K418" s="97">
        <v>17112.09</v>
      </c>
      <c r="L418" s="97">
        <v>1349.18</v>
      </c>
      <c r="M418" s="98">
        <v>0.92700000000000005</v>
      </c>
      <c r="N418" s="99" t="s">
        <v>44</v>
      </c>
      <c r="O418" s="99"/>
      <c r="P418" s="85">
        <v>1</v>
      </c>
    </row>
    <row r="419" spans="1:16" s="48" customFormat="1">
      <c r="A419" s="99" t="s">
        <v>319</v>
      </c>
      <c r="B419" s="99" t="s">
        <v>530</v>
      </c>
      <c r="C419" s="99" t="s">
        <v>323</v>
      </c>
      <c r="D419" s="99" t="s">
        <v>77</v>
      </c>
      <c r="E419" s="99" t="s">
        <v>98</v>
      </c>
      <c r="F419" s="101" t="s">
        <v>857</v>
      </c>
      <c r="G419" s="97">
        <v>29471.42</v>
      </c>
      <c r="H419" s="97">
        <v>27600.75</v>
      </c>
      <c r="I419" s="97">
        <v>448.55</v>
      </c>
      <c r="J419" s="97">
        <v>26976.61</v>
      </c>
      <c r="K419" s="97">
        <v>17374.95</v>
      </c>
      <c r="L419" s="97">
        <v>9601.66</v>
      </c>
      <c r="M419" s="98">
        <v>0.64400000000000002</v>
      </c>
      <c r="N419" s="99" t="s">
        <v>44</v>
      </c>
      <c r="O419" s="99"/>
      <c r="P419" s="85"/>
    </row>
    <row r="420" spans="1:16" s="48" customFormat="1">
      <c r="A420" s="96" t="s">
        <v>319</v>
      </c>
      <c r="B420" s="99" t="s">
        <v>530</v>
      </c>
      <c r="C420" s="99" t="s">
        <v>323</v>
      </c>
      <c r="D420" s="99" t="s">
        <v>77</v>
      </c>
      <c r="E420" s="96" t="s">
        <v>99</v>
      </c>
      <c r="F420" s="101" t="s">
        <v>857</v>
      </c>
      <c r="G420" s="97">
        <v>86400</v>
      </c>
      <c r="H420" s="97">
        <v>80466.27</v>
      </c>
      <c r="I420" s="97">
        <v>857.82</v>
      </c>
      <c r="J420" s="97">
        <v>79767.05</v>
      </c>
      <c r="K420" s="97">
        <v>50925.15</v>
      </c>
      <c r="L420" s="97">
        <v>28841.9</v>
      </c>
      <c r="M420" s="98">
        <v>0.63800000000000001</v>
      </c>
      <c r="N420" s="99" t="s">
        <v>44</v>
      </c>
      <c r="O420" s="99"/>
      <c r="P420" s="85"/>
    </row>
    <row r="421" spans="1:16" s="48" customFormat="1">
      <c r="A421" s="96" t="s">
        <v>319</v>
      </c>
      <c r="B421" s="99" t="s">
        <v>530</v>
      </c>
      <c r="C421" s="99" t="s">
        <v>323</v>
      </c>
      <c r="D421" s="99" t="s">
        <v>77</v>
      </c>
      <c r="E421" s="96" t="s">
        <v>102</v>
      </c>
      <c r="F421" s="101" t="s">
        <v>857</v>
      </c>
      <c r="G421" s="97">
        <v>14000</v>
      </c>
      <c r="H421" s="97">
        <v>13038.52</v>
      </c>
      <c r="I421" s="97">
        <v>38.840000000000003</v>
      </c>
      <c r="J421" s="97">
        <v>12985.85</v>
      </c>
      <c r="K421" s="97">
        <v>2473.5</v>
      </c>
      <c r="L421" s="97">
        <v>10512.36</v>
      </c>
      <c r="M421" s="98">
        <v>0.19</v>
      </c>
      <c r="N421" s="99" t="s">
        <v>44</v>
      </c>
      <c r="O421" s="99"/>
      <c r="P421" s="85"/>
    </row>
    <row r="422" spans="1:16">
      <c r="A422" s="99" t="s">
        <v>554</v>
      </c>
      <c r="B422" s="99" t="s">
        <v>555</v>
      </c>
      <c r="C422" s="99" t="s">
        <v>323</v>
      </c>
      <c r="D422" s="99" t="s">
        <v>107</v>
      </c>
      <c r="E422" s="99" t="s">
        <v>99</v>
      </c>
      <c r="F422" s="101" t="s">
        <v>454</v>
      </c>
      <c r="G422" s="148">
        <v>14984</v>
      </c>
      <c r="H422" s="97">
        <v>13396</v>
      </c>
      <c r="I422" s="97">
        <v>5664.57</v>
      </c>
      <c r="J422" s="148">
        <v>7104</v>
      </c>
      <c r="K422" s="148">
        <v>7104</v>
      </c>
      <c r="L422" s="148">
        <v>0</v>
      </c>
      <c r="M422" s="98">
        <v>1</v>
      </c>
      <c r="N422" s="99" t="s">
        <v>41</v>
      </c>
      <c r="O422" s="99" t="s">
        <v>547</v>
      </c>
      <c r="P422" s="77">
        <v>1</v>
      </c>
    </row>
    <row r="423" spans="1:16">
      <c r="A423" s="99" t="s">
        <v>331</v>
      </c>
      <c r="B423" s="99" t="s">
        <v>789</v>
      </c>
      <c r="C423" s="99" t="s">
        <v>323</v>
      </c>
      <c r="D423" s="99" t="s">
        <v>107</v>
      </c>
      <c r="E423" s="99" t="s">
        <v>99</v>
      </c>
      <c r="F423" s="101" t="s">
        <v>454</v>
      </c>
      <c r="G423" s="148">
        <v>14984</v>
      </c>
      <c r="H423" s="97">
        <v>13396</v>
      </c>
      <c r="I423" s="97">
        <v>5664.57</v>
      </c>
      <c r="J423" s="148">
        <v>7104</v>
      </c>
      <c r="K423" s="148">
        <v>7104</v>
      </c>
      <c r="L423" s="148">
        <v>0</v>
      </c>
      <c r="M423" s="98">
        <v>1</v>
      </c>
      <c r="N423" s="99" t="s">
        <v>41</v>
      </c>
      <c r="O423" s="99"/>
      <c r="P423" s="77">
        <v>1</v>
      </c>
    </row>
    <row r="424" spans="1:16">
      <c r="A424" s="99" t="s">
        <v>332</v>
      </c>
      <c r="B424" s="99" t="s">
        <v>790</v>
      </c>
      <c r="C424" s="99" t="s">
        <v>323</v>
      </c>
      <c r="D424" s="99" t="s">
        <v>107</v>
      </c>
      <c r="E424" s="99" t="s">
        <v>99</v>
      </c>
      <c r="F424" s="101" t="s">
        <v>454</v>
      </c>
      <c r="G424" s="148">
        <v>14984</v>
      </c>
      <c r="H424" s="97">
        <v>13396</v>
      </c>
      <c r="I424" s="97">
        <v>5527.15</v>
      </c>
      <c r="J424" s="148">
        <v>6973.33</v>
      </c>
      <c r="K424" s="148">
        <v>6973.33</v>
      </c>
      <c r="L424" s="148">
        <v>0</v>
      </c>
      <c r="M424" s="98">
        <v>1</v>
      </c>
      <c r="N424" s="99" t="s">
        <v>41</v>
      </c>
      <c r="O424" s="99"/>
      <c r="P424" s="77">
        <v>1</v>
      </c>
    </row>
    <row r="425" spans="1:16">
      <c r="A425" s="99" t="s">
        <v>333</v>
      </c>
      <c r="B425" s="99" t="s">
        <v>791</v>
      </c>
      <c r="C425" s="99" t="s">
        <v>323</v>
      </c>
      <c r="D425" s="99" t="s">
        <v>107</v>
      </c>
      <c r="E425" s="99" t="s">
        <v>99</v>
      </c>
      <c r="F425" s="101" t="s">
        <v>454</v>
      </c>
      <c r="G425" s="148">
        <v>14984</v>
      </c>
      <c r="H425" s="97">
        <v>13396</v>
      </c>
      <c r="I425" s="97">
        <v>5664.57</v>
      </c>
      <c r="J425" s="148">
        <v>7104</v>
      </c>
      <c r="K425" s="148">
        <v>7104</v>
      </c>
      <c r="L425" s="148">
        <v>0</v>
      </c>
      <c r="M425" s="98">
        <v>1</v>
      </c>
      <c r="N425" s="99" t="s">
        <v>41</v>
      </c>
      <c r="O425" s="99"/>
      <c r="P425" s="77">
        <v>1</v>
      </c>
    </row>
    <row r="426" spans="1:16">
      <c r="A426" s="99" t="s">
        <v>334</v>
      </c>
      <c r="B426" s="99" t="s">
        <v>792</v>
      </c>
      <c r="C426" s="99" t="s">
        <v>323</v>
      </c>
      <c r="D426" s="99" t="s">
        <v>107</v>
      </c>
      <c r="E426" s="99" t="s">
        <v>99</v>
      </c>
      <c r="F426" s="101" t="s">
        <v>454</v>
      </c>
      <c r="G426" s="148">
        <v>14984</v>
      </c>
      <c r="H426" s="97">
        <v>13396</v>
      </c>
      <c r="I426" s="97">
        <v>5664.57</v>
      </c>
      <c r="J426" s="148">
        <v>7104</v>
      </c>
      <c r="K426" s="148">
        <v>7104</v>
      </c>
      <c r="L426" s="148">
        <v>0</v>
      </c>
      <c r="M426" s="98">
        <v>1</v>
      </c>
      <c r="N426" s="99" t="s">
        <v>41</v>
      </c>
      <c r="O426" s="99"/>
      <c r="P426" s="77">
        <v>1</v>
      </c>
    </row>
    <row r="427" spans="1:16">
      <c r="A427" s="99" t="s">
        <v>335</v>
      </c>
      <c r="B427" s="99" t="s">
        <v>793</v>
      </c>
      <c r="C427" s="99" t="s">
        <v>323</v>
      </c>
      <c r="D427" s="99" t="s">
        <v>107</v>
      </c>
      <c r="E427" s="99" t="s">
        <v>99</v>
      </c>
      <c r="F427" s="101" t="s">
        <v>454</v>
      </c>
      <c r="G427" s="148">
        <v>14984</v>
      </c>
      <c r="H427" s="97">
        <v>13396</v>
      </c>
      <c r="I427" s="97">
        <v>5664.57</v>
      </c>
      <c r="J427" s="148">
        <v>7104</v>
      </c>
      <c r="K427" s="148">
        <v>7104</v>
      </c>
      <c r="L427" s="148">
        <v>0</v>
      </c>
      <c r="M427" s="98">
        <v>1</v>
      </c>
      <c r="N427" s="99" t="s">
        <v>41</v>
      </c>
      <c r="O427" s="99"/>
      <c r="P427" s="77">
        <v>1</v>
      </c>
    </row>
    <row r="428" spans="1:16">
      <c r="A428" s="99" t="s">
        <v>336</v>
      </c>
      <c r="B428" s="99" t="s">
        <v>794</v>
      </c>
      <c r="C428" s="99" t="s">
        <v>323</v>
      </c>
      <c r="D428" s="99" t="s">
        <v>107</v>
      </c>
      <c r="E428" s="99" t="s">
        <v>99</v>
      </c>
      <c r="F428" s="101" t="s">
        <v>454</v>
      </c>
      <c r="G428" s="148">
        <v>15284</v>
      </c>
      <c r="H428" s="97">
        <v>13664</v>
      </c>
      <c r="I428" s="97">
        <v>5664.57</v>
      </c>
      <c r="J428" s="148">
        <v>6973.33</v>
      </c>
      <c r="K428" s="148">
        <v>6973.33</v>
      </c>
      <c r="L428" s="148">
        <v>0</v>
      </c>
      <c r="M428" s="98">
        <v>1</v>
      </c>
      <c r="N428" s="99" t="s">
        <v>41</v>
      </c>
      <c r="O428" s="99"/>
      <c r="P428" s="77">
        <v>1</v>
      </c>
    </row>
    <row r="429" spans="1:16">
      <c r="A429" s="99" t="s">
        <v>337</v>
      </c>
      <c r="B429" s="99" t="s">
        <v>795</v>
      </c>
      <c r="C429" s="99" t="s">
        <v>323</v>
      </c>
      <c r="D429" s="99" t="s">
        <v>107</v>
      </c>
      <c r="E429" s="99" t="s">
        <v>99</v>
      </c>
      <c r="F429" s="101" t="s">
        <v>454</v>
      </c>
      <c r="G429" s="148">
        <v>14984</v>
      </c>
      <c r="H429" s="97">
        <v>13396</v>
      </c>
      <c r="I429" s="97">
        <v>5664.57</v>
      </c>
      <c r="J429" s="148">
        <v>7104</v>
      </c>
      <c r="K429" s="148">
        <v>7104</v>
      </c>
      <c r="L429" s="148">
        <v>0</v>
      </c>
      <c r="M429" s="98">
        <v>1</v>
      </c>
      <c r="N429" s="99" t="s">
        <v>41</v>
      </c>
      <c r="O429" s="99"/>
      <c r="P429" s="77">
        <v>1</v>
      </c>
    </row>
    <row r="430" spans="1:16">
      <c r="A430" s="99" t="s">
        <v>338</v>
      </c>
      <c r="B430" s="99" t="s">
        <v>796</v>
      </c>
      <c r="C430" s="99" t="s">
        <v>323</v>
      </c>
      <c r="D430" s="99" t="s">
        <v>107</v>
      </c>
      <c r="E430" s="99" t="s">
        <v>99</v>
      </c>
      <c r="F430" s="101" t="s">
        <v>454</v>
      </c>
      <c r="G430" s="148">
        <v>14984</v>
      </c>
      <c r="H430" s="97">
        <v>13396</v>
      </c>
      <c r="I430" s="97">
        <v>5664.57</v>
      </c>
      <c r="J430" s="148">
        <v>7104</v>
      </c>
      <c r="K430" s="148">
        <v>7104</v>
      </c>
      <c r="L430" s="148">
        <v>0</v>
      </c>
      <c r="M430" s="98">
        <v>1</v>
      </c>
      <c r="N430" s="99" t="s">
        <v>41</v>
      </c>
      <c r="O430" s="99"/>
      <c r="P430" s="77">
        <v>1</v>
      </c>
    </row>
    <row r="431" spans="1:16">
      <c r="A431" s="99" t="s">
        <v>339</v>
      </c>
      <c r="B431" s="99" t="s">
        <v>797</v>
      </c>
      <c r="C431" s="99" t="s">
        <v>323</v>
      </c>
      <c r="D431" s="99" t="s">
        <v>107</v>
      </c>
      <c r="E431" s="99" t="s">
        <v>99</v>
      </c>
      <c r="F431" s="101" t="s">
        <v>454</v>
      </c>
      <c r="G431" s="148">
        <v>14984</v>
      </c>
      <c r="H431" s="97">
        <v>13396</v>
      </c>
      <c r="I431" s="97">
        <v>1921.91</v>
      </c>
      <c r="J431" s="148">
        <v>3300</v>
      </c>
      <c r="K431" s="148">
        <v>3300</v>
      </c>
      <c r="L431" s="148">
        <v>0</v>
      </c>
      <c r="M431" s="98">
        <v>1</v>
      </c>
      <c r="N431" s="99" t="s">
        <v>41</v>
      </c>
      <c r="O431" s="99"/>
      <c r="P431" s="77">
        <v>1</v>
      </c>
    </row>
    <row r="432" spans="1:16">
      <c r="A432" s="99" t="s">
        <v>340</v>
      </c>
      <c r="B432" s="99" t="s">
        <v>798</v>
      </c>
      <c r="C432" s="99" t="s">
        <v>323</v>
      </c>
      <c r="D432" s="99" t="s">
        <v>341</v>
      </c>
      <c r="E432" s="99" t="s">
        <v>102</v>
      </c>
      <c r="F432" s="101" t="s">
        <v>228</v>
      </c>
      <c r="G432" s="148">
        <v>159730</v>
      </c>
      <c r="H432" s="97">
        <v>146468</v>
      </c>
      <c r="I432" s="97">
        <v>5138.66</v>
      </c>
      <c r="J432" s="148">
        <v>133710</v>
      </c>
      <c r="K432" s="148">
        <v>132774</v>
      </c>
      <c r="L432" s="148">
        <v>936</v>
      </c>
      <c r="M432" s="98">
        <v>0.99299999999999999</v>
      </c>
      <c r="N432" s="99" t="s">
        <v>41</v>
      </c>
      <c r="O432" s="99"/>
      <c r="P432" s="77">
        <v>1</v>
      </c>
    </row>
    <row r="433" spans="1:15">
      <c r="A433" s="103"/>
      <c r="B433" s="103"/>
      <c r="C433" s="103"/>
      <c r="D433" s="103"/>
      <c r="E433" s="103"/>
      <c r="F433" s="142"/>
      <c r="G433" s="152"/>
      <c r="H433" s="143"/>
      <c r="I433" s="143"/>
      <c r="J433" s="152"/>
      <c r="K433" s="152"/>
      <c r="L433" s="152"/>
      <c r="M433" s="144"/>
      <c r="N433" s="103"/>
      <c r="O433" s="103"/>
    </row>
  </sheetData>
  <sortState ref="A394:P402">
    <sortCondition ref="B340:B361"/>
    <sortCondition ref="E340:E361"/>
  </sortState>
  <mergeCells count="1">
    <mergeCell ref="A1:O1"/>
  </mergeCells>
  <phoneticPr fontId="0" type="noConversion"/>
  <printOptions horizontalCentered="1"/>
  <pageMargins left="0.5" right="0.5" top="0.75" bottom="0.75" header="0.5" footer="0.5"/>
  <pageSetup scale="10" orientation="landscape" r:id="rId1"/>
  <headerFooter alignWithMargins="0">
    <oddHeader>&amp;L&amp;G</oddHeader>
    <oddFooter>&amp;R&amp;12&amp;G Page &amp;P of &amp;N</oddFooter>
  </headerFooter>
  <rowBreaks count="1" manualBreakCount="1">
    <brk id="3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0" sqref="D20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5"/>
  <sheetViews>
    <sheetView showGridLines="0" zoomScaleNormal="100" workbookViewId="0">
      <pane ySplit="4" topLeftCell="A104" activePane="bottomLeft" state="frozen"/>
      <selection pane="bottomLeft" activeCell="M48" sqref="M48"/>
    </sheetView>
  </sheetViews>
  <sheetFormatPr defaultRowHeight="12.75"/>
  <cols>
    <col min="1" max="1" width="23" style="14" customWidth="1"/>
    <col min="2" max="2" width="5.85546875" customWidth="1"/>
    <col min="3" max="3" width="10.7109375" customWidth="1"/>
    <col min="4" max="5" width="13.28515625" style="48" customWidth="1"/>
    <col min="6" max="9" width="13.28515625" customWidth="1"/>
    <col min="10" max="10" width="9.140625" style="37"/>
    <col min="11" max="18" width="13.28515625" customWidth="1"/>
  </cols>
  <sheetData>
    <row r="1" spans="1:18" ht="19.5" thickTop="1" thickBot="1">
      <c r="A1" s="168" t="s">
        <v>867</v>
      </c>
      <c r="B1" s="169"/>
      <c r="C1" s="169"/>
      <c r="D1" s="169"/>
      <c r="E1" s="169"/>
      <c r="F1" s="169"/>
      <c r="G1" s="169"/>
      <c r="H1" s="169"/>
      <c r="I1" s="170"/>
      <c r="J1" s="171"/>
    </row>
    <row r="2" spans="1:18" ht="48.75" customHeight="1" thickTop="1" thickBot="1">
      <c r="A2" s="172" t="s">
        <v>177</v>
      </c>
      <c r="B2" s="173"/>
      <c r="C2" s="173"/>
      <c r="D2" s="173"/>
      <c r="E2" s="173"/>
      <c r="F2" s="173"/>
      <c r="G2" s="173"/>
      <c r="H2" s="173"/>
      <c r="I2" s="170"/>
      <c r="J2" s="171"/>
    </row>
    <row r="3" spans="1:18" s="49" customFormat="1" ht="42" customHeight="1" thickTop="1" thickBot="1">
      <c r="A3" s="16" t="s">
        <v>7</v>
      </c>
      <c r="B3" s="17" t="s">
        <v>20</v>
      </c>
      <c r="C3" s="17" t="s">
        <v>22</v>
      </c>
      <c r="D3" s="17" t="s">
        <v>171</v>
      </c>
      <c r="E3" s="17" t="s">
        <v>172</v>
      </c>
      <c r="F3" s="17" t="s">
        <v>173</v>
      </c>
      <c r="G3" s="17" t="s">
        <v>174</v>
      </c>
      <c r="H3" s="17" t="s">
        <v>52</v>
      </c>
      <c r="I3" s="17" t="s">
        <v>51</v>
      </c>
      <c r="J3" s="57" t="s">
        <v>18</v>
      </c>
      <c r="K3" s="58" t="s">
        <v>175</v>
      </c>
      <c r="L3" s="54" t="s">
        <v>60</v>
      </c>
      <c r="M3" s="54" t="s">
        <v>61</v>
      </c>
      <c r="N3" s="54" t="s">
        <v>62</v>
      </c>
      <c r="O3" s="59" t="s">
        <v>176</v>
      </c>
      <c r="P3" s="59" t="s">
        <v>63</v>
      </c>
      <c r="Q3" s="55" t="s">
        <v>64</v>
      </c>
      <c r="R3" s="55" t="s">
        <v>65</v>
      </c>
    </row>
    <row r="4" spans="1:18" ht="14.25" thickTop="1" thickBot="1">
      <c r="A4" s="119" t="s">
        <v>359</v>
      </c>
      <c r="B4" s="120"/>
      <c r="C4" s="120"/>
      <c r="D4" s="121">
        <f t="shared" ref="D4:J4" si="0">SUMIF($A$6:$A$111,"Site Total",D$6:D$111)</f>
        <v>49112422</v>
      </c>
      <c r="E4" s="121">
        <f t="shared" si="0"/>
        <v>44931102.350000001</v>
      </c>
      <c r="F4" s="121">
        <f t="shared" si="0"/>
        <v>660449.92000000016</v>
      </c>
      <c r="G4" s="121">
        <f t="shared" si="0"/>
        <v>36587496.449999996</v>
      </c>
      <c r="H4" s="121">
        <f t="shared" si="0"/>
        <v>17763116.619999997</v>
      </c>
      <c r="I4" s="121">
        <f t="shared" si="0"/>
        <v>18824379.869999997</v>
      </c>
      <c r="J4" s="122">
        <f t="shared" si="0"/>
        <v>315</v>
      </c>
      <c r="K4" s="123">
        <f>D4/1024</f>
        <v>47961.349609375</v>
      </c>
      <c r="L4" s="124">
        <f t="shared" ref="L4:N5" si="1">G4/1024</f>
        <v>35729.977001953121</v>
      </c>
      <c r="M4" s="124">
        <f t="shared" si="1"/>
        <v>17346.793574218747</v>
      </c>
      <c r="N4" s="124">
        <f t="shared" si="1"/>
        <v>18383.183466796872</v>
      </c>
      <c r="O4" s="124">
        <f t="shared" ref="O4:R5" si="2">K4/1024</f>
        <v>46.837255477905273</v>
      </c>
      <c r="P4" s="124">
        <f t="shared" si="2"/>
        <v>34.892555665969844</v>
      </c>
      <c r="Q4" s="124">
        <f t="shared" si="2"/>
        <v>16.940228099822995</v>
      </c>
      <c r="R4" s="124">
        <f t="shared" si="2"/>
        <v>17.952327604293821</v>
      </c>
    </row>
    <row r="5" spans="1:18" ht="14.25" thickTop="1" thickBot="1">
      <c r="A5" s="118" t="s">
        <v>355</v>
      </c>
      <c r="B5" s="5"/>
      <c r="C5" s="5"/>
      <c r="D5" s="11">
        <f t="shared" ref="D5:J5" si="3">SUMIF($A$6:$A$73,"Site Total",D$6:D$73)</f>
        <v>47173728</v>
      </c>
      <c r="E5" s="11">
        <f t="shared" si="3"/>
        <v>43152931.25</v>
      </c>
      <c r="F5" s="11">
        <f t="shared" si="3"/>
        <v>545865.30000000005</v>
      </c>
      <c r="G5" s="11">
        <f t="shared" si="3"/>
        <v>34978767.789999992</v>
      </c>
      <c r="H5" s="11">
        <f t="shared" si="3"/>
        <v>16933569.120000001</v>
      </c>
      <c r="I5" s="11">
        <f t="shared" si="3"/>
        <v>18045198.699999999</v>
      </c>
      <c r="J5" s="25">
        <f t="shared" si="3"/>
        <v>283</v>
      </c>
      <c r="K5" s="52">
        <f>D5/1024</f>
        <v>46068.09375</v>
      </c>
      <c r="L5" s="53">
        <f t="shared" si="1"/>
        <v>34158.952919921867</v>
      </c>
      <c r="M5" s="53">
        <f t="shared" si="1"/>
        <v>16536.688593750001</v>
      </c>
      <c r="N5" s="53">
        <f t="shared" si="1"/>
        <v>17622.264355468749</v>
      </c>
      <c r="O5" s="53">
        <f t="shared" si="2"/>
        <v>44.988372802734375</v>
      </c>
      <c r="P5" s="53">
        <f t="shared" si="2"/>
        <v>33.358352460861198</v>
      </c>
      <c r="Q5" s="53">
        <f t="shared" si="2"/>
        <v>16.149109954833985</v>
      </c>
      <c r="R5" s="53">
        <f t="shared" si="2"/>
        <v>17.20924253463745</v>
      </c>
    </row>
    <row r="6" spans="1:18" ht="13.5" thickTop="1">
      <c r="A6" s="31" t="s">
        <v>6</v>
      </c>
      <c r="B6" s="26" t="s">
        <v>21</v>
      </c>
      <c r="C6" s="26" t="s">
        <v>23</v>
      </c>
      <c r="D6" s="67">
        <f t="array" ref="D6">SUM(IF('SAN Storage Inventory'!$C$4:$C$432="390 Greenwich",IF('SAN Storage Inventory'!$E$4:$E$432="Tier 1",'SAN Storage Inventory'!$G$4:$G$432,0),0))</f>
        <v>96694.41</v>
      </c>
      <c r="E6" s="67">
        <f t="array" ref="E6">SUM(IF('SAN Storage Inventory'!$C$4:$C$432="390 Greenwich",IF('SAN Storage Inventory'!$E$4:$E$432="Tier 1",'SAN Storage Inventory'!$H$4:$H$432,0),0))</f>
        <v>90556.83</v>
      </c>
      <c r="F6" s="1">
        <f t="array" ref="F6">SUM(IF('SAN Storage Inventory'!$C$4:$C$432="390 Greenwich",IF('SAN Storage Inventory'!$E$4:$E$432="Tier 1",'SAN Storage Inventory'!$I$4:$I$432,0),0))</f>
        <v>851.1099999999999</v>
      </c>
      <c r="G6" s="1">
        <f t="array" ref="G6">SUM(IF('SAN Storage Inventory'!$C$4:$C$432="390 Greenwich",IF('SAN Storage Inventory'!$E$4:$E$432="Tier 1",'SAN Storage Inventory'!$J$4:$J$432,0),0))</f>
        <v>89599.69</v>
      </c>
      <c r="H6" s="1">
        <f t="array" ref="H6">SUM(IF('SAN Storage Inventory'!$C$4:$C$432="390 Greenwich",IF('SAN Storage Inventory'!$E$4:$E$432="Tier 1",'SAN Storage Inventory'!$K$4:$K$432,0),0))</f>
        <v>66707.73000000001</v>
      </c>
      <c r="I6" s="1">
        <f t="array" ref="I6">SUM(IF('SAN Storage Inventory'!$C$4:$C$432="390 Greenwich",IF('SAN Storage Inventory'!$E$4:$E$432="Tier 1",'SAN Storage Inventory'!$L$4:$L$432,0),0))</f>
        <v>22891.96</v>
      </c>
      <c r="J6" s="78">
        <f t="array" ref="J6">SUM(IF('SAN Storage Inventory'!$C$4:$C$432="390 Greenwich",IF('SAN Storage Inventory'!$E$4:$E$432="Tier 1",'SAN Storage Inventory'!$P$4:$P$432,0),0))</f>
        <v>2</v>
      </c>
      <c r="K6" s="109"/>
      <c r="L6" s="56"/>
      <c r="M6" s="72"/>
      <c r="N6" s="72"/>
      <c r="O6" s="72"/>
      <c r="P6" s="9"/>
    </row>
    <row r="7" spans="1:18">
      <c r="A7" s="32" t="s">
        <v>6</v>
      </c>
      <c r="B7" s="3" t="s">
        <v>24</v>
      </c>
      <c r="C7" s="3" t="s">
        <v>53</v>
      </c>
      <c r="D7" s="68">
        <f t="array" ref="D7">SUM(IF('SAN Storage Inventory'!$C$4:$C$432="390 Greenwich",IF('SAN Storage Inventory'!$E$4:$E$432="Tier 2",'SAN Storage Inventory'!$G$4:$G$432,0),0))</f>
        <v>136381.70000000001</v>
      </c>
      <c r="E7" s="68">
        <f t="array" ref="E7">SUM(IF('SAN Storage Inventory'!$C$4:$C$432="390 Greenwich",IF('SAN Storage Inventory'!$E$4:$E$432="Tier 2",'SAN Storage Inventory'!$H$4:$H$432,0),0))</f>
        <v>127725.01</v>
      </c>
      <c r="F7" s="2">
        <f t="array" ref="F7">SUM(IF('SAN Storage Inventory'!$C$4:$C$432="390 Greenwich",IF('SAN Storage Inventory'!$E$4:$E$432="Tier 2",'SAN Storage Inventory'!$I$4:$I$432,0),0))</f>
        <v>1350.53</v>
      </c>
      <c r="G7" s="2">
        <f t="array" ref="G7">SUM(IF('SAN Storage Inventory'!$C$4:$C$432="390 Greenwich",IF('SAN Storage Inventory'!$E$4:$E$432="Tier 2",'SAN Storage Inventory'!$J$4:$J$432,0),0))</f>
        <v>126225.58</v>
      </c>
      <c r="H7" s="2">
        <f t="array" ref="H7">SUM(IF('SAN Storage Inventory'!$C$4:$C$432="390 Greenwich",IF('SAN Storage Inventory'!$E$4:$E$432="Tier 2",'SAN Storage Inventory'!$K$4:$K$432,0),0))</f>
        <v>83220.759999999995</v>
      </c>
      <c r="I7" s="2">
        <f t="array" ref="I7">SUM(IF('SAN Storage Inventory'!$C$4:$C$432="390 Greenwich",IF('SAN Storage Inventory'!$E$4:$E$432="Tier 2",'SAN Storage Inventory'!$L$4:$L$432,0),0))</f>
        <v>43004.82</v>
      </c>
      <c r="J7" s="79">
        <f t="array" ref="J7">SUM(IF('SAN Storage Inventory'!$C$4:$C$432="390 Greenwich",IF('SAN Storage Inventory'!$E$4:$E$432="Tier 2",'SAN Storage Inventory'!$P$4:$P$432,0),0))</f>
        <v>2</v>
      </c>
      <c r="K7" s="109"/>
      <c r="L7" s="56"/>
      <c r="M7" s="72"/>
      <c r="N7" s="72"/>
      <c r="O7" s="72"/>
      <c r="P7" s="9"/>
    </row>
    <row r="8" spans="1:18">
      <c r="A8" s="32" t="s">
        <v>6</v>
      </c>
      <c r="B8" s="3" t="s">
        <v>25</v>
      </c>
      <c r="C8" s="3" t="s">
        <v>53</v>
      </c>
      <c r="D8" s="68">
        <f t="array" ref="D8">SUM(IF('SAN Storage Inventory'!$C$4:$C$432="390 Greenwich",IF('SAN Storage Inventory'!$E$4:$E$432="Tier 4",'SAN Storage Inventory'!$G$4:$G$432,0),0))</f>
        <v>3070073.8800000004</v>
      </c>
      <c r="E8" s="68">
        <f t="array" ref="E8">SUM(IF('SAN Storage Inventory'!$C$4:$C$432="390 Greenwich",IF('SAN Storage Inventory'!$E$4:$E$432="Tier 4",'SAN Storage Inventory'!$H$4:$H$432,0),0))</f>
        <v>2776264.7800000003</v>
      </c>
      <c r="F8" s="2">
        <f t="array" ref="F8">SUM(IF('SAN Storage Inventory'!$C$4:$C$432="390 Greenwich",IF('SAN Storage Inventory'!$E$4:$E$432="Tier 4",'SAN Storage Inventory'!$I$4:$I$432,0),0))</f>
        <v>24130.930000000004</v>
      </c>
      <c r="G8" s="2">
        <f t="array" ref="G8">SUM(IF('SAN Storage Inventory'!$C$4:$C$432="390 Greenwich",IF('SAN Storage Inventory'!$E$4:$E$432="Tier 4",'SAN Storage Inventory'!$J$4:$J$432,0),0))</f>
        <v>2730501.8699999996</v>
      </c>
      <c r="H8" s="2">
        <f t="array" ref="H8">SUM(IF('SAN Storage Inventory'!$C$4:$C$432="390 Greenwich",IF('SAN Storage Inventory'!$E$4:$E$432="Tier 4",'SAN Storage Inventory'!$K$4:$K$432,0),0))</f>
        <v>1221520.7700000003</v>
      </c>
      <c r="I8" s="2">
        <f t="array" ref="I8">SUM(IF('SAN Storage Inventory'!$C$4:$C$432="390 Greenwich",IF('SAN Storage Inventory'!$E$4:$E$432="Tier 4",'SAN Storage Inventory'!$L$4:$L$432,0),0))</f>
        <v>1508981.14</v>
      </c>
      <c r="J8" s="79">
        <f t="array" ref="J8">SUM(IF('SAN Storage Inventory'!$C$4:$C$432="390 Greenwich",IF('SAN Storage Inventory'!$E$4:$E$432="Tier 4",'SAN Storage Inventory'!$P$4:$P$432,0),0))</f>
        <v>15</v>
      </c>
      <c r="K8" s="109"/>
      <c r="L8" s="56"/>
      <c r="M8" s="72"/>
      <c r="N8" s="72"/>
      <c r="O8" s="72"/>
      <c r="P8" s="9"/>
    </row>
    <row r="9" spans="1:18">
      <c r="A9" s="32" t="s">
        <v>6</v>
      </c>
      <c r="B9" s="3" t="s">
        <v>50</v>
      </c>
      <c r="C9" s="3" t="s">
        <v>23</v>
      </c>
      <c r="D9" s="68">
        <f t="array" ref="D9">SUM(IF('SAN Storage Inventory'!$C$4:$C$432="390 Greenwich",IF('SAN Storage Inventory'!$E$4:$E$432="Tier 5",'SAN Storage Inventory'!$G$4:$G$432,0),0))</f>
        <v>116000</v>
      </c>
      <c r="E9" s="68">
        <f t="array" ref="E9">SUM(IF('SAN Storage Inventory'!$C$4:$C$432="390 Greenwich",IF('SAN Storage Inventory'!$E$4:$E$432="Tier 5",'SAN Storage Inventory'!$H$4:$H$432,0),0))</f>
        <v>106372</v>
      </c>
      <c r="F9" s="2">
        <f t="array" ref="F9">SUM(IF('SAN Storage Inventory'!$C$4:$C$432="390 Greenwich",IF('SAN Storage Inventory'!$E$4:$E$432="Tier 5",'SAN Storage Inventory'!$I$4:$I$432,0),0))</f>
        <v>9876.19</v>
      </c>
      <c r="G9" s="2">
        <f t="array" ref="G9">SUM(IF('SAN Storage Inventory'!$C$4:$C$432="390 Greenwich",IF('SAN Storage Inventory'!$E$4:$E$432="Tier 5",'SAN Storage Inventory'!$J$4:$J$432,0),0))</f>
        <v>89146.17</v>
      </c>
      <c r="H9" s="2">
        <f t="array" ref="H9">SUM(IF('SAN Storage Inventory'!$C$4:$C$432="390 Greenwich",IF('SAN Storage Inventory'!$E$4:$E$432="Tier 5",'SAN Storage Inventory'!$K$4:$K$432,0),0))</f>
        <v>34231.17</v>
      </c>
      <c r="I9" s="2">
        <f t="array" ref="I9">SUM(IF('SAN Storage Inventory'!$C$4:$C$432="390 Greenwich",IF('SAN Storage Inventory'!$E$4:$E$432="Tier 5",'SAN Storage Inventory'!$L$4:$L$432,0),0))</f>
        <v>54915</v>
      </c>
      <c r="J9" s="79">
        <f t="array" ref="J9">SUM(IF('SAN Storage Inventory'!$C$4:$C$432="390 Greenwich",IF('SAN Storage Inventory'!$E$4:$E$432="Tier 5",'SAN Storage Inventory'!$P$4:$P$432,0),0))</f>
        <v>2</v>
      </c>
      <c r="K9" s="109"/>
      <c r="L9" s="9"/>
      <c r="M9" s="9"/>
      <c r="N9" s="9"/>
      <c r="O9" s="9"/>
      <c r="P9" s="9"/>
    </row>
    <row r="10" spans="1:18" ht="13.5" thickBot="1">
      <c r="A10" s="30" t="s">
        <v>8</v>
      </c>
      <c r="B10" s="27"/>
      <c r="C10" s="27"/>
      <c r="D10" s="28">
        <f t="shared" ref="D10:I10" si="4">SUM(D6:D9)</f>
        <v>3419149.99</v>
      </c>
      <c r="E10" s="28">
        <f t="shared" si="4"/>
        <v>3100918.62</v>
      </c>
      <c r="F10" s="28">
        <f t="shared" si="4"/>
        <v>36208.76</v>
      </c>
      <c r="G10" s="28">
        <f t="shared" si="4"/>
        <v>3035473.3099999996</v>
      </c>
      <c r="H10" s="28">
        <f t="shared" si="4"/>
        <v>1405680.4300000002</v>
      </c>
      <c r="I10" s="28">
        <f t="shared" si="4"/>
        <v>1629792.92</v>
      </c>
      <c r="J10" s="42">
        <f t="shared" ref="J10" si="5">SUM(J6:J9)</f>
        <v>21</v>
      </c>
      <c r="K10" s="109"/>
      <c r="L10" s="9"/>
      <c r="M10" s="56"/>
      <c r="N10" s="56"/>
      <c r="O10" s="56"/>
      <c r="P10" s="9"/>
    </row>
    <row r="11" spans="1:18" ht="13.5" thickTop="1">
      <c r="A11" s="32" t="s">
        <v>73</v>
      </c>
      <c r="B11" s="26" t="s">
        <v>21</v>
      </c>
      <c r="C11" s="26" t="s">
        <v>23</v>
      </c>
      <c r="D11" s="67">
        <f t="array" ref="D11">SUM(IF('SAN Storage Inventory'!$C$4:$C$432="MWDC",IF('SAN Storage Inventory'!$E$4:$E$432="Tier 1",'SAN Storage Inventory'!$G$4:$G$432,0),0))</f>
        <v>20007.34</v>
      </c>
      <c r="E11" s="67">
        <f t="array" ref="E11">SUM(IF('SAN Storage Inventory'!$C$4:$C$432="MWDC",IF('SAN Storage Inventory'!$E$4:$E$432="Tier 1",'SAN Storage Inventory'!$H$4:$H$432,0),0))</f>
        <v>18737.39</v>
      </c>
      <c r="F11" s="1">
        <f t="array" ref="F11">SUM(IF('SAN Storage Inventory'!$C$4:$C$432="MWDC",IF('SAN Storage Inventory'!$E$4:$E$432="Tier 1",'SAN Storage Inventory'!$I$4:$I$432,0),0))</f>
        <v>100.19</v>
      </c>
      <c r="G11" s="1">
        <f t="array" ref="G11">SUM(IF('SAN Storage Inventory'!$C$4:$C$432="MWDC",IF('SAN Storage Inventory'!$E$4:$E$432="Tier 1",'SAN Storage Inventory'!$J$4:$J$432,0),0))</f>
        <v>18615.27</v>
      </c>
      <c r="H11" s="1">
        <f t="array" ref="H11">SUM(IF('SAN Storage Inventory'!$C$4:$C$432="MWDC",IF('SAN Storage Inventory'!$E$4:$E$432="Tier 1",'SAN Storage Inventory'!$K$4:$K$432,0),0))</f>
        <v>17688.53</v>
      </c>
      <c r="I11" s="1">
        <f t="array" ref="I11">SUM(IF('SAN Storage Inventory'!$C$4:$C$432="MWDC",IF('SAN Storage Inventory'!$E$4:$E$432="Tier 1",'SAN Storage Inventory'!$L$4:$L$432,0),0))</f>
        <v>926.74</v>
      </c>
      <c r="J11" s="78">
        <f t="array" ref="J11">SUM(IF('SAN Storage Inventory'!$C$4:$C$432="MWDC",IF('SAN Storage Inventory'!$E$4:$E$432="Tier 1",'SAN Storage Inventory'!$P$4:$P$432,0),0))</f>
        <v>2</v>
      </c>
      <c r="K11" s="109"/>
      <c r="L11" s="56"/>
      <c r="M11" s="10"/>
      <c r="N11" s="10"/>
      <c r="O11" s="10"/>
      <c r="P11" s="9"/>
    </row>
    <row r="12" spans="1:18">
      <c r="A12" s="32" t="s">
        <v>73</v>
      </c>
      <c r="B12" s="3" t="s">
        <v>24</v>
      </c>
      <c r="C12" s="3" t="s">
        <v>53</v>
      </c>
      <c r="D12" s="68">
        <f t="array" ref="D12">SUM(IF('SAN Storage Inventory'!$C$4:$C$432="MWDC",IF('SAN Storage Inventory'!$E$4:$E$432="Tier 2",'SAN Storage Inventory'!$G$4:$G$432,0),0))</f>
        <v>399304.66000000003</v>
      </c>
      <c r="E12" s="68">
        <f t="array" ref="E12">SUM(IF('SAN Storage Inventory'!$C$4:$C$432="MWDC",IF('SAN Storage Inventory'!$E$4:$E$432="Tier 2",'SAN Storage Inventory'!$H$4:$H$432,0),0))</f>
        <v>373959.21</v>
      </c>
      <c r="F12" s="2">
        <f t="array" ref="F12">SUM(IF('SAN Storage Inventory'!$C$4:$C$432="MWDC",IF('SAN Storage Inventory'!$E$4:$E$432="Tier 2",'SAN Storage Inventory'!$I$4:$I$432,0),0))</f>
        <v>3744.09</v>
      </c>
      <c r="G12" s="2">
        <f t="array" ref="G12">SUM(IF('SAN Storage Inventory'!$C$4:$C$432="MWDC",IF('SAN Storage Inventory'!$E$4:$E$432="Tier 2",'SAN Storage Inventory'!$J$4:$J$432,0),0))</f>
        <v>369777.14</v>
      </c>
      <c r="H12" s="2">
        <f t="array" ref="H12">SUM(IF('SAN Storage Inventory'!$C$4:$C$432="MWDC",IF('SAN Storage Inventory'!$E$4:$E$432="Tier 2",'SAN Storage Inventory'!$K$4:$K$432,0),0))</f>
        <v>268783.57</v>
      </c>
      <c r="I12" s="2">
        <f t="array" ref="I12">SUM(IF('SAN Storage Inventory'!$C$4:$C$432="MWDC",IF('SAN Storage Inventory'!$E$4:$E$432="Tier 2",'SAN Storage Inventory'!$L$4:$L$432,0),0))</f>
        <v>100993.55</v>
      </c>
      <c r="J12" s="79">
        <f t="array" ref="J12">SUM(IF('SAN Storage Inventory'!$C$4:$C$432="MWDC",IF('SAN Storage Inventory'!$E$4:$E$432="Tier 2",'SAN Storage Inventory'!$P$4:$P$432,0),0))</f>
        <v>3</v>
      </c>
      <c r="K12" s="109"/>
      <c r="L12" s="56"/>
      <c r="M12" s="10"/>
      <c r="N12" s="10"/>
      <c r="O12" s="10"/>
      <c r="P12" s="9"/>
    </row>
    <row r="13" spans="1:18">
      <c r="A13" s="32" t="s">
        <v>73</v>
      </c>
      <c r="B13" s="3" t="s">
        <v>25</v>
      </c>
      <c r="C13" s="3" t="s">
        <v>53</v>
      </c>
      <c r="D13" s="68">
        <f t="array" ref="D13">SUM(IF('SAN Storage Inventory'!$C$4:$C$432="MWDC",IF('SAN Storage Inventory'!$E$4:$E$432="Tier 4",'SAN Storage Inventory'!$G$4:$G$432,0),0))</f>
        <v>13545040</v>
      </c>
      <c r="E13" s="68">
        <f t="array" ref="E13">SUM(IF('SAN Storage Inventory'!$C$4:$C$432="MWDC",IF('SAN Storage Inventory'!$E$4:$E$432="Tier 4",'SAN Storage Inventory'!$H$4:$H$432,0),0))</f>
        <v>12373446.67</v>
      </c>
      <c r="F13" s="2">
        <f t="array" ref="F13">SUM(IF('SAN Storage Inventory'!$C$4:$C$432="MWDC",IF('SAN Storage Inventory'!$E$4:$E$432="Tier 4",'SAN Storage Inventory'!$I$4:$I$432,0),0))</f>
        <v>78933.19</v>
      </c>
      <c r="G13" s="2">
        <f t="array" ref="G13">SUM(IF('SAN Storage Inventory'!$C$4:$C$432="MWDC",IF('SAN Storage Inventory'!$E$4:$E$432="Tier 4",'SAN Storage Inventory'!$J$4:$J$432,0),0))</f>
        <v>9509799.8399999999</v>
      </c>
      <c r="H13" s="2">
        <f t="array" ref="H13">SUM(IF('SAN Storage Inventory'!$C$4:$C$432="MWDC",IF('SAN Storage Inventory'!$E$4:$E$432="Tier 4",'SAN Storage Inventory'!$K$4:$K$432,0),0))</f>
        <v>4218774.79</v>
      </c>
      <c r="I13" s="2">
        <f t="array" ref="I13">SUM(IF('SAN Storage Inventory'!$C$4:$C$432="MWDC",IF('SAN Storage Inventory'!$E$4:$E$432="Tier 4",'SAN Storage Inventory'!$L$4:$L$432,0),0))</f>
        <v>5291025.03</v>
      </c>
      <c r="J13" s="79">
        <f t="array" ref="J13">SUM(IF('SAN Storage Inventory'!$C$4:$C$432="MWDC",IF('SAN Storage Inventory'!$E$4:$E$432="Tier 4",'SAN Storage Inventory'!$P$4:$P$432,0),0))</f>
        <v>63</v>
      </c>
      <c r="K13" s="109"/>
      <c r="L13" s="56"/>
      <c r="M13" s="10"/>
      <c r="N13" s="10"/>
      <c r="O13" s="10"/>
      <c r="P13" s="9"/>
    </row>
    <row r="14" spans="1:18">
      <c r="A14" s="32" t="s">
        <v>73</v>
      </c>
      <c r="B14" s="3" t="s">
        <v>50</v>
      </c>
      <c r="C14" s="3" t="s">
        <v>53</v>
      </c>
      <c r="D14" s="68">
        <f t="array" ref="D14">SUM(IF('SAN Storage Inventory'!$C$4:$C$432="MWDC",IF('SAN Storage Inventory'!$E$4:$E$432="Tier 5",'SAN Storage Inventory'!$G$4:$G$432,0),0))</f>
        <v>793078</v>
      </c>
      <c r="E14" s="68">
        <f t="array" ref="E14">SUM(IF('SAN Storage Inventory'!$C$4:$C$432="MWDC",IF('SAN Storage Inventory'!$E$4:$E$432="Tier 5",'SAN Storage Inventory'!$H$4:$H$432,0),0))</f>
        <v>750461</v>
      </c>
      <c r="F14" s="2">
        <f t="array" ref="F14">SUM(IF('SAN Storage Inventory'!$C$4:$C$432="MWDC",IF('SAN Storage Inventory'!$E$4:$E$432="Tier 5",'SAN Storage Inventory'!$I$4:$I$432,0),0))</f>
        <v>16270.48</v>
      </c>
      <c r="G14" s="2">
        <f t="array" ref="G14">SUM(IF('SAN Storage Inventory'!$C$4:$C$432="MWDC",IF('SAN Storage Inventory'!$E$4:$E$432="Tier 5",'SAN Storage Inventory'!$J$4:$J$432,0),0))</f>
        <v>728374.12999999989</v>
      </c>
      <c r="H14" s="2">
        <f t="array" ref="H14">SUM(IF('SAN Storage Inventory'!$C$4:$C$432="MWDC",IF('SAN Storage Inventory'!$E$4:$E$432="Tier 5",'SAN Storage Inventory'!$K$4:$K$432,0),0))</f>
        <v>673204.78</v>
      </c>
      <c r="I14" s="2">
        <f t="array" ref="I14">SUM(IF('SAN Storage Inventory'!$C$4:$C$432="MWDC",IF('SAN Storage Inventory'!$E$4:$E$432="Tier 5",'SAN Storage Inventory'!$L$4:$L$432,0),0))</f>
        <v>55169.350000000006</v>
      </c>
      <c r="J14" s="79">
        <f t="array" ref="J14">SUM(IF('SAN Storage Inventory'!$C$4:$C$432="MWDC",IF('SAN Storage Inventory'!$E$4:$E$432="Tier 5",'SAN Storage Inventory'!$P$4:$P$432,0),0))</f>
        <v>2</v>
      </c>
      <c r="K14" s="109"/>
      <c r="L14" s="56"/>
      <c r="M14" s="10"/>
      <c r="N14" s="10"/>
      <c r="O14" s="10"/>
      <c r="P14" s="9"/>
    </row>
    <row r="15" spans="1:18" ht="13.5" thickBot="1">
      <c r="A15" s="30" t="s">
        <v>8</v>
      </c>
      <c r="B15" s="27"/>
      <c r="C15" s="27"/>
      <c r="D15" s="28">
        <f t="shared" ref="D15:I15" si="6">SUM(D11:D14)</f>
        <v>14757430</v>
      </c>
      <c r="E15" s="28">
        <f t="shared" si="6"/>
        <v>13516604.27</v>
      </c>
      <c r="F15" s="28">
        <f t="shared" si="6"/>
        <v>99047.95</v>
      </c>
      <c r="G15" s="28">
        <f t="shared" si="6"/>
        <v>10626566.379999999</v>
      </c>
      <c r="H15" s="28">
        <f t="shared" si="6"/>
        <v>5178451.67</v>
      </c>
      <c r="I15" s="28">
        <f t="shared" si="6"/>
        <v>5448114.6699999999</v>
      </c>
      <c r="J15" s="42">
        <f t="shared" ref="J15" si="7">SUM(J11:J14)</f>
        <v>70</v>
      </c>
      <c r="K15" s="109"/>
      <c r="L15" s="56"/>
      <c r="M15" s="10"/>
      <c r="N15" s="10"/>
      <c r="O15" s="10"/>
      <c r="P15" s="9"/>
    </row>
    <row r="16" spans="1:18" ht="13.5" thickTop="1">
      <c r="A16" s="32" t="s">
        <v>80</v>
      </c>
      <c r="B16" s="26" t="s">
        <v>21</v>
      </c>
      <c r="C16" s="26" t="s">
        <v>23</v>
      </c>
      <c r="D16" s="67">
        <f t="array" ref="D16">SUM(IF('SAN Storage Inventory'!$C$4:$C$432="GTDC",IF('SAN Storage Inventory'!$E$4:$E$432="Tier 1",'SAN Storage Inventory'!$G$4:$G$432,0),0))</f>
        <v>0</v>
      </c>
      <c r="E16" s="67">
        <f t="array" ref="E16">SUM(IF('SAN Storage Inventory'!$C$4:$C$432="GTDC",IF('SAN Storage Inventory'!$E$4:$E$432="Tier 1",'SAN Storage Inventory'!$H$4:$H$432,0),0))</f>
        <v>0</v>
      </c>
      <c r="F16" s="1">
        <f t="array" ref="F16">SUM(IF('SAN Storage Inventory'!$C$4:$C$432="GTDC",IF('SAN Storage Inventory'!$E$4:$E$432="Tier 1",'SAN Storage Inventory'!$I$4:$I$432,0),0))</f>
        <v>0</v>
      </c>
      <c r="G16" s="1">
        <f t="array" ref="G16">SUM(IF('SAN Storage Inventory'!$C$4:$C$432="GTDC",IF('SAN Storage Inventory'!$E$4:$E$432="Tier 1",'SAN Storage Inventory'!$J$4:$J$432,0),0))</f>
        <v>0</v>
      </c>
      <c r="H16" s="1">
        <f t="array" ref="H16">SUM(IF('SAN Storage Inventory'!$C$4:$C$432="GTDC",IF('SAN Storage Inventory'!$E$4:$E$432="Tier 1",'SAN Storage Inventory'!$K$4:$K$432,0),0))</f>
        <v>0</v>
      </c>
      <c r="I16" s="1">
        <f t="array" ref="I16">SUM(IF('SAN Storage Inventory'!$C$4:$C$432="GTDC",IF('SAN Storage Inventory'!$E$4:$E$432="Tier 1",'SAN Storage Inventory'!$L$4:$L$432,0),0))</f>
        <v>0</v>
      </c>
      <c r="J16" s="78">
        <f t="array" ref="J16">SUM(IF('SAN Storage Inventory'!$C$4:$C$432="GTDC",IF('SAN Storage Inventory'!$E$4:$E$432="Tier 1",'SAN Storage Inventory'!$P$4:$P$432,0),0))</f>
        <v>0</v>
      </c>
      <c r="K16" s="109"/>
      <c r="L16" s="56"/>
      <c r="M16" s="10"/>
      <c r="N16" s="10"/>
      <c r="O16" s="10"/>
      <c r="P16" s="9"/>
    </row>
    <row r="17" spans="1:16">
      <c r="A17" s="32" t="s">
        <v>80</v>
      </c>
      <c r="B17" s="3" t="s">
        <v>24</v>
      </c>
      <c r="C17" s="3" t="s">
        <v>53</v>
      </c>
      <c r="D17" s="68">
        <f t="array" ref="D17">SUM(IF('SAN Storage Inventory'!$C$4:$C$432="GTDC",IF('SAN Storage Inventory'!$E$4:$E$432="Tier 2",'SAN Storage Inventory'!$G$4:$G$432,0),0))</f>
        <v>119134.01999999999</v>
      </c>
      <c r="E17" s="68">
        <f t="array" ref="E17">SUM(IF('SAN Storage Inventory'!$C$4:$C$432="GTDC",IF('SAN Storage Inventory'!$E$4:$E$432="Tier 2",'SAN Storage Inventory'!$H$4:$H$432,0),0))</f>
        <v>111572.12</v>
      </c>
      <c r="F17" s="2">
        <f t="array" ref="F17">SUM(IF('SAN Storage Inventory'!$C$4:$C$432="GTDC",IF('SAN Storage Inventory'!$E$4:$E$432="Tier 2",'SAN Storage Inventory'!$I$4:$I$432,0),0))</f>
        <v>914.18000000000006</v>
      </c>
      <c r="G17" s="2">
        <f t="array" ref="G17">SUM(IF('SAN Storage Inventory'!$C$4:$C$432="GTDC",IF('SAN Storage Inventory'!$E$4:$E$432="Tier 2",'SAN Storage Inventory'!$J$4:$J$432,0),0))</f>
        <v>110527.33</v>
      </c>
      <c r="H17" s="2">
        <f t="array" ref="H17">SUM(IF('SAN Storage Inventory'!$C$4:$C$432="GTDC",IF('SAN Storage Inventory'!$E$4:$E$432="Tier 2",'SAN Storage Inventory'!$K$4:$K$432,0),0))</f>
        <v>15664.000000000002</v>
      </c>
      <c r="I17" s="2">
        <f t="array" ref="I17">SUM(IF('SAN Storage Inventory'!$C$4:$C$432="GTDC",IF('SAN Storage Inventory'!$E$4:$E$432="Tier 2",'SAN Storage Inventory'!$L$4:$L$432,0),0))</f>
        <v>94863.33</v>
      </c>
      <c r="J17" s="79">
        <f t="array" ref="J17">SUM(IF('SAN Storage Inventory'!$C$4:$C$432="GTDC",IF('SAN Storage Inventory'!$E$4:$E$432="Tier 2",'SAN Storage Inventory'!$P$4:$P$432,0),0))</f>
        <v>2</v>
      </c>
      <c r="K17" s="109"/>
      <c r="L17" s="56"/>
      <c r="M17" s="10"/>
      <c r="N17" s="10"/>
      <c r="O17" s="10"/>
      <c r="P17" s="9"/>
    </row>
    <row r="18" spans="1:16">
      <c r="A18" s="32" t="s">
        <v>80</v>
      </c>
      <c r="B18" s="3" t="s">
        <v>25</v>
      </c>
      <c r="C18" s="3" t="s">
        <v>53</v>
      </c>
      <c r="D18" s="68">
        <f t="array" ref="D18">SUM(IF('SAN Storage Inventory'!$C$4:$C$432="GTDC",IF('SAN Storage Inventory'!$E$4:$E$432="Tier 4",'SAN Storage Inventory'!$G$4:$G$432,0),0))</f>
        <v>5740059.9700000007</v>
      </c>
      <c r="E18" s="68">
        <f t="array" ref="E18">SUM(IF('SAN Storage Inventory'!$C$4:$C$432="GTDC",IF('SAN Storage Inventory'!$E$4:$E$432="Tier 4",'SAN Storage Inventory'!$H$4:$H$432,0),0))</f>
        <v>5214019.05</v>
      </c>
      <c r="F18" s="2">
        <f t="array" ref="F18">SUM(IF('SAN Storage Inventory'!$C$4:$C$432="GTDC",IF('SAN Storage Inventory'!$E$4:$E$432="Tier 4",'SAN Storage Inventory'!$I$4:$I$432,0),0))</f>
        <v>83386.950000000012</v>
      </c>
      <c r="G18" s="2">
        <f t="array" ref="G18">SUM(IF('SAN Storage Inventory'!$C$4:$C$432="GTDC",IF('SAN Storage Inventory'!$E$4:$E$432="Tier 4",'SAN Storage Inventory'!$J$4:$J$432,0),0))</f>
        <v>3435117.8100000005</v>
      </c>
      <c r="H18" s="2">
        <f t="array" ref="H18">SUM(IF('SAN Storage Inventory'!$C$4:$C$432="GTDC",IF('SAN Storage Inventory'!$E$4:$E$432="Tier 4",'SAN Storage Inventory'!$K$4:$K$432,0),0))</f>
        <v>1120220.8599999999</v>
      </c>
      <c r="I18" s="2">
        <f t="array" ref="I18">SUM(IF('SAN Storage Inventory'!$C$4:$C$432="GTDC",IF('SAN Storage Inventory'!$E$4:$E$432="Tier 4",'SAN Storage Inventory'!$L$4:$L$432,0),0))</f>
        <v>2314896.94</v>
      </c>
      <c r="J18" s="79">
        <f t="array" ref="J18">SUM(IF('SAN Storage Inventory'!$C$4:$C$432="GTDC",IF('SAN Storage Inventory'!$E$4:$E$432="Tier 4",'SAN Storage Inventory'!$P$4:$P$432,0),0))</f>
        <v>39</v>
      </c>
      <c r="K18" s="109"/>
      <c r="L18" s="9"/>
      <c r="M18" s="9"/>
      <c r="N18" s="9"/>
      <c r="O18" s="9"/>
      <c r="P18" s="9"/>
    </row>
    <row r="19" spans="1:16">
      <c r="A19" s="32" t="s">
        <v>80</v>
      </c>
      <c r="B19" s="3" t="s">
        <v>50</v>
      </c>
      <c r="C19" s="3" t="s">
        <v>53</v>
      </c>
      <c r="D19" s="68">
        <f t="array" ref="D19">SUM(IF('SAN Storage Inventory'!$C$4:$C$432="GTDC",IF('SAN Storage Inventory'!$E$4:$E$432="Tier 5",'SAN Storage Inventory'!$G$4:$G$432,0),0))</f>
        <v>404420</v>
      </c>
      <c r="E19" s="68">
        <f t="array" ref="E19">SUM(IF('SAN Storage Inventory'!$C$4:$C$432="GTDC",IF('SAN Storage Inventory'!$E$4:$E$432="Tier 5",'SAN Storage Inventory'!$H$4:$H$432,0),0))</f>
        <v>371152</v>
      </c>
      <c r="F19" s="2">
        <f t="array" ref="F19">SUM(IF('SAN Storage Inventory'!$C$4:$C$432="GTDC",IF('SAN Storage Inventory'!$E$4:$E$432="Tier 5",'SAN Storage Inventory'!$I$4:$I$432,0),0))</f>
        <v>35613.9</v>
      </c>
      <c r="G19" s="2">
        <f t="array" ref="G19">SUM(IF('SAN Storage Inventory'!$C$4:$C$432="GTDC",IF('SAN Storage Inventory'!$E$4:$E$432="Tier 5",'SAN Storage Inventory'!$J$4:$J$432,0),0))</f>
        <v>327840.77</v>
      </c>
      <c r="H19" s="2">
        <f t="array" ref="H19">SUM(IF('SAN Storage Inventory'!$C$4:$C$432="GTDC",IF('SAN Storage Inventory'!$E$4:$E$432="Tier 5",'SAN Storage Inventory'!$K$4:$K$432,0),0))</f>
        <v>326510.77</v>
      </c>
      <c r="I19" s="2">
        <f t="array" ref="I19">SUM(IF('SAN Storage Inventory'!$C$4:$C$432="GTDC",IF('SAN Storage Inventory'!$E$4:$E$432="Tier 5",'SAN Storage Inventory'!$L$4:$L$432,0),0))</f>
        <v>1330</v>
      </c>
      <c r="J19" s="79">
        <f t="array" ref="J19">SUM(IF('SAN Storage Inventory'!$C$4:$C$432="GTDC",IF('SAN Storage Inventory'!$E$4:$E$432="Tier 5",'SAN Storage Inventory'!$P$4:$P$432,0),0))</f>
        <v>3</v>
      </c>
      <c r="K19" s="109"/>
      <c r="L19" s="9"/>
      <c r="M19" s="56"/>
      <c r="N19" s="56"/>
      <c r="O19" s="56"/>
      <c r="P19" s="9"/>
    </row>
    <row r="20" spans="1:16" ht="13.5" thickBot="1">
      <c r="A20" s="30" t="s">
        <v>8</v>
      </c>
      <c r="B20" s="27"/>
      <c r="C20" s="27"/>
      <c r="D20" s="28">
        <f t="shared" ref="D20:I20" si="8">SUM(D16:D19)</f>
        <v>6263613.9900000002</v>
      </c>
      <c r="E20" s="28">
        <f t="shared" si="8"/>
        <v>5696743.1699999999</v>
      </c>
      <c r="F20" s="28">
        <f t="shared" si="8"/>
        <v>119915.03</v>
      </c>
      <c r="G20" s="28">
        <f t="shared" si="8"/>
        <v>3873485.9100000006</v>
      </c>
      <c r="H20" s="28">
        <f t="shared" si="8"/>
        <v>1462395.63</v>
      </c>
      <c r="I20" s="28">
        <f t="shared" si="8"/>
        <v>2411090.27</v>
      </c>
      <c r="J20" s="42">
        <f t="shared" ref="J20" si="9">SUM(J16:J19)</f>
        <v>44</v>
      </c>
      <c r="K20" s="109"/>
      <c r="L20" s="56"/>
      <c r="M20" s="10"/>
      <c r="N20" s="10"/>
      <c r="O20" s="10"/>
      <c r="P20" s="9"/>
    </row>
    <row r="21" spans="1:16" ht="13.5" thickTop="1">
      <c r="A21" s="32" t="s">
        <v>86</v>
      </c>
      <c r="B21" s="26" t="s">
        <v>21</v>
      </c>
      <c r="C21" s="26" t="s">
        <v>23</v>
      </c>
      <c r="D21" s="67">
        <f t="array" ref="D21">SUM(IF('SAN Storage Inventory'!$C$4:$C$432="Ofallon",IF('SAN Storage Inventory'!$E$4:$E$432="Tier 1",'SAN Storage Inventory'!$G$4:$G$432,0),0))</f>
        <v>13703.36</v>
      </c>
      <c r="E21" s="67">
        <f t="array" ref="E21">SUM(IF('SAN Storage Inventory'!$C$4:$C$432="Ofallon",IF('SAN Storage Inventory'!$E$4:$E$432="Tier 1",'SAN Storage Inventory'!$H$4:$H$432,0),0))</f>
        <v>12833.55</v>
      </c>
      <c r="F21" s="1">
        <f t="array" ref="F21">SUM(IF('SAN Storage Inventory'!$C$4:$C$432="Ofallon",IF('SAN Storage Inventory'!$E$4:$E$432="Tier 1",'SAN Storage Inventory'!$I$4:$I$432,0),0))</f>
        <v>62.79</v>
      </c>
      <c r="G21" s="1">
        <f t="array" ref="G21">SUM(IF('SAN Storage Inventory'!$C$4:$C$432="Ofallon",IF('SAN Storage Inventory'!$E$4:$E$432="Tier 1",'SAN Storage Inventory'!$J$4:$J$432,0),0))</f>
        <v>12755.78</v>
      </c>
      <c r="H21" s="1">
        <f t="array" ref="H21">SUM(IF('SAN Storage Inventory'!$C$4:$C$432="Ofallon",IF('SAN Storage Inventory'!$E$4:$E$432="Tier 1",'SAN Storage Inventory'!$K$4:$K$432,0),0))</f>
        <v>12717.24</v>
      </c>
      <c r="I21" s="1">
        <f t="array" ref="I21">SUM(IF('SAN Storage Inventory'!$C$4:$C$432="Ofallon",IF('SAN Storage Inventory'!$E$4:$E$432="Tier 1",'SAN Storage Inventory'!$L$4:$L$432,0),0))</f>
        <v>38.54</v>
      </c>
      <c r="J21" s="78">
        <f t="array" ref="J21">SUM(IF('SAN Storage Inventory'!$C$4:$C$432="Ofallon",IF('SAN Storage Inventory'!$E$4:$E$432="Tier 1",'SAN Storage Inventory'!$P$4:$P$432,0),0))</f>
        <v>0</v>
      </c>
      <c r="L21" s="9"/>
      <c r="M21" s="56"/>
      <c r="N21" s="56"/>
      <c r="O21" s="56"/>
      <c r="P21" s="12"/>
    </row>
    <row r="22" spans="1:16">
      <c r="A22" s="32" t="s">
        <v>86</v>
      </c>
      <c r="B22" s="3" t="s">
        <v>24</v>
      </c>
      <c r="C22" s="3" t="s">
        <v>53</v>
      </c>
      <c r="D22" s="68">
        <f t="array" ref="D22">SUM(IF('SAN Storage Inventory'!$C$4:$C$432="Ofallon",IF('SAN Storage Inventory'!$E$4:$E$432="Tier 2",'SAN Storage Inventory'!$G$4:$G$432,0),0))</f>
        <v>63384.639999999999</v>
      </c>
      <c r="E22" s="68">
        <f t="array" ref="E22">SUM(IF('SAN Storage Inventory'!$C$4:$C$432="Ofallon",IF('SAN Storage Inventory'!$E$4:$E$432="Tier 2",'SAN Storage Inventory'!$H$4:$H$432,0),0))</f>
        <v>59361.369999999995</v>
      </c>
      <c r="F22" s="2">
        <f t="array" ref="F22">SUM(IF('SAN Storage Inventory'!$C$4:$C$432="Ofallon",IF('SAN Storage Inventory'!$E$4:$E$432="Tier 2",'SAN Storage Inventory'!$I$4:$I$432,0),0))</f>
        <v>612.68000000000006</v>
      </c>
      <c r="G22" s="2">
        <f t="array" ref="G22">SUM(IF('SAN Storage Inventory'!$C$4:$C$432="Ofallon",IF('SAN Storage Inventory'!$E$4:$E$432="Tier 2",'SAN Storage Inventory'!$J$4:$J$432,0),0))</f>
        <v>58679.31</v>
      </c>
      <c r="H22" s="2">
        <f t="array" ref="H22">SUM(IF('SAN Storage Inventory'!$C$4:$C$432="Ofallon",IF('SAN Storage Inventory'!$E$4:$E$432="Tier 2",'SAN Storage Inventory'!$K$4:$K$432,0),0))</f>
        <v>4817.05</v>
      </c>
      <c r="I22" s="2">
        <f t="array" ref="I22">SUM(IF('SAN Storage Inventory'!$C$4:$C$432="Ofallon",IF('SAN Storage Inventory'!$E$4:$E$432="Tier 2",'SAN Storage Inventory'!$L$4:$L$432,0),0))</f>
        <v>53862.26</v>
      </c>
      <c r="J22" s="79">
        <f t="array" ref="J22">SUM(IF('SAN Storage Inventory'!$C$4:$C$432="Ofallon",IF('SAN Storage Inventory'!$E$4:$E$432="Tier 2",'SAN Storage Inventory'!$P$4:$P$432,0),0))</f>
        <v>2</v>
      </c>
      <c r="L22" s="56"/>
      <c r="M22" s="10"/>
      <c r="N22" s="10"/>
      <c r="O22" s="10"/>
    </row>
    <row r="23" spans="1:16">
      <c r="A23" s="32" t="s">
        <v>86</v>
      </c>
      <c r="B23" s="3" t="s">
        <v>25</v>
      </c>
      <c r="C23" s="3" t="s">
        <v>53</v>
      </c>
      <c r="D23" s="68">
        <f t="array" ref="D23">SUM(IF('SAN Storage Inventory'!$C$4:$C$432="Ofallon",IF('SAN Storage Inventory'!$E$4:$E$432="Tier 4",'SAN Storage Inventory'!$G$4:$G$432,0),0))</f>
        <v>403200.01</v>
      </c>
      <c r="E23" s="68">
        <f t="array" ref="E23">SUM(IF('SAN Storage Inventory'!$C$4:$C$432="Ofallon",IF('SAN Storage Inventory'!$E$4:$E$432="Tier 4",'SAN Storage Inventory'!$H$4:$H$432,0),0))</f>
        <v>368819.22</v>
      </c>
      <c r="F23" s="2">
        <f t="array" ref="F23">SUM(IF('SAN Storage Inventory'!$C$4:$C$432="Ofallon",IF('SAN Storage Inventory'!$E$4:$E$432="Tier 4",'SAN Storage Inventory'!$I$4:$I$432,0),0))</f>
        <v>5617.4</v>
      </c>
      <c r="G23" s="2">
        <f t="array" ref="G23">SUM(IF('SAN Storage Inventory'!$C$4:$C$432="Ofallon",IF('SAN Storage Inventory'!$E$4:$E$432="Tier 4",'SAN Storage Inventory'!$J$4:$J$432,0),0))</f>
        <v>361048.11</v>
      </c>
      <c r="H23" s="2">
        <f t="array" ref="H23">SUM(IF('SAN Storage Inventory'!$C$4:$C$432="Ofallon",IF('SAN Storage Inventory'!$E$4:$E$432="Tier 4",'SAN Storage Inventory'!$K$4:$K$432,0),0))</f>
        <v>216599.36000000002</v>
      </c>
      <c r="I23" s="2">
        <f t="array" ref="I23">SUM(IF('SAN Storage Inventory'!$C$4:$C$432="Ofallon",IF('SAN Storage Inventory'!$E$4:$E$432="Tier 4",'SAN Storage Inventory'!$L$4:$L$432,0),0))</f>
        <v>144448.75</v>
      </c>
      <c r="J23" s="79">
        <f t="array" ref="J23">SUM(IF('SAN Storage Inventory'!$C$4:$C$432="Ofallon",IF('SAN Storage Inventory'!$E$4:$E$432="Tier 4",'SAN Storage Inventory'!$P$4:$P$432,0),0))</f>
        <v>3</v>
      </c>
      <c r="L23" s="56"/>
      <c r="M23" s="10"/>
      <c r="N23" s="10"/>
      <c r="O23" s="10"/>
    </row>
    <row r="24" spans="1:16">
      <c r="A24" s="32" t="s">
        <v>86</v>
      </c>
      <c r="B24" s="3" t="s">
        <v>50</v>
      </c>
      <c r="C24" s="3" t="s">
        <v>53</v>
      </c>
      <c r="D24" s="68">
        <f t="array" ref="D24">SUM(IF('SAN Storage Inventory'!$C$4:$C$432="Ofallon",IF('SAN Storage Inventory'!$E$4:$E$432="Tier 5",'SAN Storage Inventory'!$G$4:$G$432,0),0))</f>
        <v>0</v>
      </c>
      <c r="E24" s="68">
        <f t="array" ref="E24">SUM(IF('SAN Storage Inventory'!$C$4:$C$432="Ofallon",IF('SAN Storage Inventory'!$E$4:$E$432="Tier 5",'SAN Storage Inventory'!$H$4:$H$432,0),0))</f>
        <v>0</v>
      </c>
      <c r="F24" s="2">
        <f t="array" ref="F24">SUM(IF('SAN Storage Inventory'!$C$4:$C$432="Ofallon",IF('SAN Storage Inventory'!$E$4:$E$432="Tier 5",'SAN Storage Inventory'!$I$4:$I$432,0),0))</f>
        <v>0</v>
      </c>
      <c r="G24" s="2">
        <f t="array" ref="G24">SUM(IF('SAN Storage Inventory'!$C$4:$C$432="Ofallon",IF('SAN Storage Inventory'!$E$4:$E$432="Tier 5",'SAN Storage Inventory'!$J$4:$J$432,0),0))</f>
        <v>0</v>
      </c>
      <c r="H24" s="2">
        <f t="array" ref="H24">SUM(IF('SAN Storage Inventory'!$C$4:$C$432="Ofallon",IF('SAN Storage Inventory'!$E$4:$E$432="Tier 5",'SAN Storage Inventory'!$K$4:$K$432,0),0))</f>
        <v>0</v>
      </c>
      <c r="I24" s="2">
        <f t="array" ref="I24">SUM(IF('SAN Storage Inventory'!$C$4:$C$432="Ofallon",IF('SAN Storage Inventory'!$E$4:$E$432="Tier 5",'SAN Storage Inventory'!$L$4:$L$432,0),0))</f>
        <v>0</v>
      </c>
      <c r="J24" s="79">
        <f t="array" ref="J24">SUM(IF('SAN Storage Inventory'!$C$4:$C$432="Ofallon",IF('SAN Storage Inventory'!$E$4:$E$432="Tier 5",'SAN Storage Inventory'!$P$4:$P$432,0),0))</f>
        <v>0</v>
      </c>
      <c r="L24" s="56"/>
      <c r="M24" s="10"/>
      <c r="N24" s="10"/>
      <c r="O24" s="10"/>
    </row>
    <row r="25" spans="1:16" ht="13.5" thickBot="1">
      <c r="A25" s="30" t="s">
        <v>8</v>
      </c>
      <c r="B25" s="27"/>
      <c r="C25" s="27"/>
      <c r="D25" s="28">
        <f t="shared" ref="D25:I25" si="10">SUM(D21:D24)</f>
        <v>480288.01</v>
      </c>
      <c r="E25" s="28">
        <f t="shared" si="10"/>
        <v>441014.13999999996</v>
      </c>
      <c r="F25" s="28">
        <f t="shared" si="10"/>
        <v>6292.87</v>
      </c>
      <c r="G25" s="28">
        <f t="shared" si="10"/>
        <v>432483.19999999995</v>
      </c>
      <c r="H25" s="28">
        <f t="shared" si="10"/>
        <v>234133.65000000002</v>
      </c>
      <c r="I25" s="28">
        <f t="shared" si="10"/>
        <v>198349.55</v>
      </c>
      <c r="J25" s="42">
        <f t="shared" ref="J25" si="11">SUM(J21:J24)</f>
        <v>5</v>
      </c>
      <c r="L25" s="56"/>
      <c r="M25" s="10"/>
      <c r="N25" s="10"/>
      <c r="O25" s="10"/>
    </row>
    <row r="26" spans="1:16" ht="13.5" thickTop="1">
      <c r="A26" s="31" t="s">
        <v>5</v>
      </c>
      <c r="B26" s="26" t="s">
        <v>21</v>
      </c>
      <c r="C26" s="26" t="s">
        <v>23</v>
      </c>
      <c r="D26" s="67">
        <f t="array" ref="D26">SUM(IF('SAN Storage Inventory'!$C$4:$C$432="Rutherford",IF('SAN Storage Inventory'!$E$4:$E$432="Tier 1",'SAN Storage Inventory'!$G$4:$G$432,0),0))</f>
        <v>96695.260000000009</v>
      </c>
      <c r="E26" s="67">
        <f t="array" ref="E26">SUM(IF('SAN Storage Inventory'!$C$4:$C$432="Rutherford",IF('SAN Storage Inventory'!$E$4:$E$432="Tier 1",'SAN Storage Inventory'!$H$4:$H$432,0),0))</f>
        <v>90557.63</v>
      </c>
      <c r="F26" s="1">
        <f t="array" ref="F26">SUM(IF('SAN Storage Inventory'!$C$4:$C$432="Rutherford",IF('SAN Storage Inventory'!$E$4:$E$432="Tier 1",'SAN Storage Inventory'!$I$4:$I$432,0),0))</f>
        <v>850.99</v>
      </c>
      <c r="G26" s="1">
        <f t="array" ref="G26">SUM(IF('SAN Storage Inventory'!$C$4:$C$432="Rutherford",IF('SAN Storage Inventory'!$E$4:$E$432="Tier 1",'SAN Storage Inventory'!$J$4:$J$432,0),0))</f>
        <v>89600.61</v>
      </c>
      <c r="H26" s="1">
        <f t="array" ref="H26">SUM(IF('SAN Storage Inventory'!$C$4:$C$432="Rutherford",IF('SAN Storage Inventory'!$E$4:$E$432="Tier 1",'SAN Storage Inventory'!$K$4:$K$432,0),0))</f>
        <v>65821.37</v>
      </c>
      <c r="I26" s="1">
        <f t="array" ref="I26">SUM(IF('SAN Storage Inventory'!$C$4:$C$432="Rutherford",IF('SAN Storage Inventory'!$E$4:$E$432="Tier 1",'SAN Storage Inventory'!$L$4:$L$432,0),0))</f>
        <v>23779.239999999998</v>
      </c>
      <c r="J26" s="78">
        <f t="array" ref="J26">SUM(IF('SAN Storage Inventory'!$C$4:$C$432="Rutherford",IF('SAN Storage Inventory'!$E$4:$E$432="Tier 1",'SAN Storage Inventory'!$P$4:$P$432,0),0))</f>
        <v>2</v>
      </c>
    </row>
    <row r="27" spans="1:16">
      <c r="A27" s="32" t="s">
        <v>5</v>
      </c>
      <c r="B27" s="3" t="s">
        <v>24</v>
      </c>
      <c r="C27" s="3" t="s">
        <v>53</v>
      </c>
      <c r="D27" s="68">
        <f t="array" ref="D27">SUM(IF('SAN Storage Inventory'!$C$4:$C$432="Rutherford",IF('SAN Storage Inventory'!$E$4:$E$432="Tier 2",'SAN Storage Inventory'!$G$4:$G$432,0),0))</f>
        <v>115356.71</v>
      </c>
      <c r="E27" s="68">
        <f t="array" ref="E27">SUM(IF('SAN Storage Inventory'!$C$4:$C$432="Rutherford",IF('SAN Storage Inventory'!$E$4:$E$432="Tier 2",'SAN Storage Inventory'!$H$4:$H$432,0),0))</f>
        <v>108034.57</v>
      </c>
      <c r="F27" s="2">
        <f t="array" ref="F27">SUM(IF('SAN Storage Inventory'!$C$4:$C$432="Rutherford",IF('SAN Storage Inventory'!$E$4:$E$432="Tier 2",'SAN Storage Inventory'!$I$4:$I$432,0),0))</f>
        <v>1105.01</v>
      </c>
      <c r="G27" s="2">
        <f t="array" ref="G27">SUM(IF('SAN Storage Inventory'!$C$4:$C$432="Rutherford",IF('SAN Storage Inventory'!$E$4:$E$432="Tier 2",'SAN Storage Inventory'!$J$4:$J$432,0),0))</f>
        <v>106803.79</v>
      </c>
      <c r="H27" s="2">
        <f t="array" ref="H27">SUM(IF('SAN Storage Inventory'!$C$4:$C$432="Rutherford",IF('SAN Storage Inventory'!$E$4:$E$432="Tier 2",'SAN Storage Inventory'!$K$4:$K$432,0),0))</f>
        <v>79808.42</v>
      </c>
      <c r="I27" s="2">
        <f t="array" ref="I27">SUM(IF('SAN Storage Inventory'!$C$4:$C$432="Rutherford",IF('SAN Storage Inventory'!$E$4:$E$432="Tier 2",'SAN Storage Inventory'!$L$4:$L$432,0),0))</f>
        <v>26995.37</v>
      </c>
      <c r="J27" s="79">
        <f t="array" ref="J27">SUM(IF('SAN Storage Inventory'!$C$4:$C$432="Rutherford",IF('SAN Storage Inventory'!$E$4:$E$432="Tier 2",'SAN Storage Inventory'!$P$4:$P$432,0),0))</f>
        <v>2</v>
      </c>
    </row>
    <row r="28" spans="1:16">
      <c r="A28" s="32" t="s">
        <v>5</v>
      </c>
      <c r="B28" s="3" t="s">
        <v>25</v>
      </c>
      <c r="C28" s="3" t="s">
        <v>53</v>
      </c>
      <c r="D28" s="68">
        <f t="array" ref="D28">SUM(IF('SAN Storage Inventory'!$C$4:$C$432="Rutherford",IF('SAN Storage Inventory'!$E$4:$E$432="Tier 4",'SAN Storage Inventory'!$G$4:$G$432,0),0))</f>
        <v>3873464.0300000003</v>
      </c>
      <c r="E28" s="68">
        <f t="array" ref="E28">SUM(IF('SAN Storage Inventory'!$C$4:$C$432="Rutherford",IF('SAN Storage Inventory'!$E$4:$E$432="Tier 4",'SAN Storage Inventory'!$H$4:$H$432,0),0))</f>
        <v>3522001.1099999994</v>
      </c>
      <c r="F28" s="2">
        <f t="array" ref="F28">SUM(IF('SAN Storage Inventory'!$C$4:$C$432="Rutherford",IF('SAN Storage Inventory'!$E$4:$E$432="Tier 4",'SAN Storage Inventory'!$I$4:$I$432,0),0))</f>
        <v>37062.200000000004</v>
      </c>
      <c r="G28" s="2">
        <f t="array" ref="G28">SUM(IF('SAN Storage Inventory'!$C$4:$C$432="Rutherford",IF('SAN Storage Inventory'!$E$4:$E$432="Tier 4",'SAN Storage Inventory'!$J$4:$J$432,0),0))</f>
        <v>2053935.8699999996</v>
      </c>
      <c r="H28" s="2">
        <f t="array" ref="H28">SUM(IF('SAN Storage Inventory'!$C$4:$C$432="Rutherford",IF('SAN Storage Inventory'!$E$4:$E$432="Tier 4",'SAN Storage Inventory'!$K$4:$K$432,0),0))</f>
        <v>873763.71000000008</v>
      </c>
      <c r="I28" s="2">
        <f t="array" ref="I28">SUM(IF('SAN Storage Inventory'!$C$4:$C$432="Rutherford",IF('SAN Storage Inventory'!$E$4:$E$432="Tier 4",'SAN Storage Inventory'!$L$4:$L$432,0),0))</f>
        <v>1180172.1299999999</v>
      </c>
      <c r="J28" s="79">
        <f t="array" ref="J28">SUM(IF('SAN Storage Inventory'!$C$4:$C$432="Rutherford",IF('SAN Storage Inventory'!$E$4:$E$432="Tier 4",'SAN Storage Inventory'!$P$4:$P$432,0),0))</f>
        <v>32</v>
      </c>
    </row>
    <row r="29" spans="1:16">
      <c r="A29" s="32" t="s">
        <v>5</v>
      </c>
      <c r="B29" s="3" t="s">
        <v>50</v>
      </c>
      <c r="C29" s="3" t="s">
        <v>53</v>
      </c>
      <c r="D29" s="68">
        <f t="array" ref="D29">SUM(IF('SAN Storage Inventory'!$C$4:$C$432="Rutherford",IF('SAN Storage Inventory'!$E$4:$E$432="Tier 5",'SAN Storage Inventory'!$G$4:$G$432,0),0))</f>
        <v>499836</v>
      </c>
      <c r="E29" s="68">
        <f t="array" ref="E29">SUM(IF('SAN Storage Inventory'!$C$4:$C$432="Rutherford",IF('SAN Storage Inventory'!$E$4:$E$432="Tier 5",'SAN Storage Inventory'!$H$4:$H$432,0),0))</f>
        <v>458652</v>
      </c>
      <c r="F29" s="2">
        <f t="array" ref="F29">SUM(IF('SAN Storage Inventory'!$C$4:$C$432="Rutherford",IF('SAN Storage Inventory'!$E$4:$E$432="Tier 5",'SAN Storage Inventory'!$I$4:$I$432,0),0))</f>
        <v>70950.73000000001</v>
      </c>
      <c r="G29" s="2">
        <f t="array" ref="G29">SUM(IF('SAN Storage Inventory'!$C$4:$C$432="Rutherford",IF('SAN Storage Inventory'!$E$4:$E$432="Tier 5",'SAN Storage Inventory'!$J$4:$J$432,0),0))</f>
        <v>373882.77</v>
      </c>
      <c r="H29" s="2">
        <f t="array" ref="H29">SUM(IF('SAN Storage Inventory'!$C$4:$C$432="Rutherford",IF('SAN Storage Inventory'!$E$4:$E$432="Tier 5",'SAN Storage Inventory'!$K$4:$K$432,0),0))</f>
        <v>350972.77</v>
      </c>
      <c r="I29" s="2">
        <f t="array" ref="I29">SUM(IF('SAN Storage Inventory'!$C$4:$C$432="Rutherford",IF('SAN Storage Inventory'!$E$4:$E$432="Tier 5",'SAN Storage Inventory'!$L$4:$L$432,0),0))</f>
        <v>22910</v>
      </c>
      <c r="J29" s="79">
        <f t="array" ref="J29">SUM(IF('SAN Storage Inventory'!$C$4:$C$432="Rutherford",IF('SAN Storage Inventory'!$E$4:$E$432="Tier 5",'SAN Storage Inventory'!$P$4:$P$432,0),0))</f>
        <v>5</v>
      </c>
    </row>
    <row r="30" spans="1:16" ht="13.5" thickBot="1">
      <c r="A30" s="30" t="s">
        <v>8</v>
      </c>
      <c r="B30" s="27"/>
      <c r="C30" s="27"/>
      <c r="D30" s="28">
        <f t="shared" ref="D30:I30" si="12">SUM(D26:D29)</f>
        <v>4585352</v>
      </c>
      <c r="E30" s="28">
        <f t="shared" si="12"/>
        <v>4179245.3099999996</v>
      </c>
      <c r="F30" s="28">
        <f t="shared" si="12"/>
        <v>109968.93000000002</v>
      </c>
      <c r="G30" s="28">
        <f t="shared" si="12"/>
        <v>2624223.0399999996</v>
      </c>
      <c r="H30" s="28">
        <f t="shared" si="12"/>
        <v>1370366.27</v>
      </c>
      <c r="I30" s="28">
        <f t="shared" si="12"/>
        <v>1253856.74</v>
      </c>
      <c r="J30" s="42">
        <f t="shared" ref="J30" si="13">SUM(J26:J29)</f>
        <v>41</v>
      </c>
    </row>
    <row r="31" spans="1:16" ht="13.5" thickTop="1">
      <c r="A31" s="32" t="s">
        <v>19</v>
      </c>
      <c r="B31" s="26" t="s">
        <v>21</v>
      </c>
      <c r="C31" s="26" t="s">
        <v>23</v>
      </c>
      <c r="D31" s="67">
        <f t="array" ref="D31">SUM(IF('SAN Storage Inventory'!$C$4:$C$432="SWDC",IF('SAN Storage Inventory'!$E$4:$E$432="Tier 1",'SAN Storage Inventory'!$G$4:$G$432,0),0))</f>
        <v>113449.77</v>
      </c>
      <c r="E31" s="67">
        <f t="array" ref="E31">SUM(IF('SAN Storage Inventory'!$C$4:$C$432="SWDC",IF('SAN Storage Inventory'!$E$4:$E$432="Tier 1",'SAN Storage Inventory'!$H$4:$H$432,0),0))</f>
        <v>106248.65999999999</v>
      </c>
      <c r="F31" s="1">
        <f t="array" ref="F31">SUM(IF('SAN Storage Inventory'!$C$4:$C$432="SWDC",IF('SAN Storage Inventory'!$E$4:$E$432="Tier 1",'SAN Storage Inventory'!$I$4:$I$432,0),0))</f>
        <v>862.68999999999994</v>
      </c>
      <c r="G31" s="1">
        <f t="array" ref="G31">SUM(IF('SAN Storage Inventory'!$C$4:$C$432="SWDC",IF('SAN Storage Inventory'!$E$4:$E$432="Tier 1",'SAN Storage Inventory'!$J$4:$J$432,0),0))</f>
        <v>105051.13</v>
      </c>
      <c r="H31" s="1">
        <f t="array" ref="H31">SUM(IF('SAN Storage Inventory'!$C$4:$C$432="SWDC",IF('SAN Storage Inventory'!$E$4:$E$432="Tier 1",'SAN Storage Inventory'!$K$4:$K$432,0),0))</f>
        <v>87971.109999999986</v>
      </c>
      <c r="I31" s="1">
        <f t="array" ref="I31">SUM(IF('SAN Storage Inventory'!$C$4:$C$432="SWDC",IF('SAN Storage Inventory'!$E$4:$E$432="Tier 1",'SAN Storage Inventory'!$L$4:$L$432,0),0))</f>
        <v>17080.02</v>
      </c>
      <c r="J31" s="78">
        <f t="array" ref="J31">SUM(IF('SAN Storage Inventory'!$C$4:$C$432="SWDC",IF('SAN Storage Inventory'!$E$4:$E$432="Tier 1",'SAN Storage Inventory'!$P$4:$P$432,0),0))</f>
        <v>3</v>
      </c>
    </row>
    <row r="32" spans="1:16">
      <c r="A32" s="32" t="s">
        <v>19</v>
      </c>
      <c r="B32" s="3" t="s">
        <v>24</v>
      </c>
      <c r="C32" s="3" t="s">
        <v>53</v>
      </c>
      <c r="D32" s="68">
        <f t="array" ref="D32">SUM(IF('SAN Storage Inventory'!$C$4:$C$432="SWDC",IF('SAN Storage Inventory'!$E$4:$E$432="Tier 2",'SAN Storage Inventory'!$G$4:$G$432,0),0))</f>
        <v>548368.23</v>
      </c>
      <c r="E32" s="68">
        <f t="array" ref="E32">SUM(IF('SAN Storage Inventory'!$C$4:$C$432="SWDC",IF('SAN Storage Inventory'!$E$4:$E$432="Tier 2",'SAN Storage Inventory'!$H$4:$H$432,0),0))</f>
        <v>512015.29000000004</v>
      </c>
      <c r="F32" s="2">
        <f t="array" ref="F32">SUM(IF('SAN Storage Inventory'!$C$4:$C$432="SWDC",IF('SAN Storage Inventory'!$E$4:$E$432="Tier 2",'SAN Storage Inventory'!$I$4:$I$432,0),0))</f>
        <v>5714.92</v>
      </c>
      <c r="G32" s="2">
        <f t="array" ref="G32">SUM(IF('SAN Storage Inventory'!$C$4:$C$432="SWDC",IF('SAN Storage Inventory'!$E$4:$E$432="Tier 2",'SAN Storage Inventory'!$J$4:$J$432,0),0))</f>
        <v>505737.73999999993</v>
      </c>
      <c r="H32" s="2">
        <f t="array" ref="H32">SUM(IF('SAN Storage Inventory'!$C$4:$C$432="SWDC",IF('SAN Storage Inventory'!$E$4:$E$432="Tier 2",'SAN Storage Inventory'!$K$4:$K$432,0),0))</f>
        <v>258893.33000000002</v>
      </c>
      <c r="I32" s="2">
        <f t="array" ref="I32">SUM(IF('SAN Storage Inventory'!$C$4:$C$432="SWDC",IF('SAN Storage Inventory'!$E$4:$E$432="Tier 2",'SAN Storage Inventory'!$L$4:$L$432,0),0))</f>
        <v>246844.41000000003</v>
      </c>
      <c r="J32" s="79">
        <f t="array" ref="J32">SUM(IF('SAN Storage Inventory'!$C$4:$C$432="SWDC",IF('SAN Storage Inventory'!$E$4:$E$432="Tier 2",'SAN Storage Inventory'!$P$4:$P$432,0),0))</f>
        <v>9</v>
      </c>
    </row>
    <row r="33" spans="1:13">
      <c r="A33" s="32" t="s">
        <v>19</v>
      </c>
      <c r="B33" s="3" t="s">
        <v>25</v>
      </c>
      <c r="C33" s="3" t="s">
        <v>53</v>
      </c>
      <c r="D33" s="68">
        <f t="array" ref="D33">SUM(IF('SAN Storage Inventory'!$C$4:$C$432="SWDC",IF('SAN Storage Inventory'!$E$4:$E$432="Tier 4",'SAN Storage Inventory'!$G$4:$G$432,0),0))</f>
        <v>15566328.35</v>
      </c>
      <c r="E33" s="68">
        <f t="array" ref="E33">SUM(IF('SAN Storage Inventory'!$C$4:$C$432="SWDC",IF('SAN Storage Inventory'!$E$4:$E$432="Tier 4",'SAN Storage Inventory'!$H$4:$H$432,0),0))</f>
        <v>14252015.450000005</v>
      </c>
      <c r="F33" s="2">
        <f t="array" ref="F33">SUM(IF('SAN Storage Inventory'!$C$4:$C$432="SWDC",IF('SAN Storage Inventory'!$E$4:$E$432="Tier 4",'SAN Storage Inventory'!$I$4:$I$432,0),0))</f>
        <v>93991.73000000001</v>
      </c>
      <c r="G33" s="2">
        <f t="array" ref="G33">SUM(IF('SAN Storage Inventory'!$C$4:$C$432="SWDC",IF('SAN Storage Inventory'!$E$4:$E$432="Tier 4",'SAN Storage Inventory'!$J$4:$J$432,0),0))</f>
        <v>12729859.73</v>
      </c>
      <c r="H33" s="2">
        <f t="array" ref="H33">SUM(IF('SAN Storage Inventory'!$C$4:$C$432="SWDC",IF('SAN Storage Inventory'!$E$4:$E$432="Tier 4",'SAN Storage Inventory'!$K$4:$K$432,0),0))</f>
        <v>6072581.9199999999</v>
      </c>
      <c r="I33" s="2">
        <f t="array" ref="I33">SUM(IF('SAN Storage Inventory'!$C$4:$C$432="SWDC",IF('SAN Storage Inventory'!$E$4:$E$432="Tier 4",'SAN Storage Inventory'!$L$4:$L$432,0),0))</f>
        <v>6657277.8600000003</v>
      </c>
      <c r="J33" s="79">
        <f t="array" ref="J33">SUM(IF('SAN Storage Inventory'!$C$4:$C$432="SWDC",IF('SAN Storage Inventory'!$E$4:$E$432="Tier 4",'SAN Storage Inventory'!$P$4:$P$432,0),0))</f>
        <v>73</v>
      </c>
    </row>
    <row r="34" spans="1:13">
      <c r="A34" s="32" t="s">
        <v>19</v>
      </c>
      <c r="B34" s="3" t="s">
        <v>50</v>
      </c>
      <c r="C34" s="3" t="s">
        <v>53</v>
      </c>
      <c r="D34" s="68">
        <f t="array" ref="D34">SUM(IF('SAN Storage Inventory'!$C$4:$C$432="SWDC",IF('SAN Storage Inventory'!$E$4:$E$432="Tier 5",'SAN Storage Inventory'!$G$4:$G$432,0),0))</f>
        <v>789083.66</v>
      </c>
      <c r="E34" s="68">
        <f t="array" ref="E34">SUM(IF('SAN Storage Inventory'!$C$4:$C$432="SWDC",IF('SAN Storage Inventory'!$E$4:$E$432="Tier 5",'SAN Storage Inventory'!$H$4:$H$432,0),0))</f>
        <v>743657.37</v>
      </c>
      <c r="F34" s="2">
        <f t="array" ref="F34">SUM(IF('SAN Storage Inventory'!$C$4:$C$432="SWDC",IF('SAN Storage Inventory'!$E$4:$E$432="Tier 5",'SAN Storage Inventory'!$I$4:$I$432,0),0))</f>
        <v>11435.75</v>
      </c>
      <c r="G34" s="2">
        <f t="array" ref="G34">SUM(IF('SAN Storage Inventory'!$C$4:$C$432="SWDC",IF('SAN Storage Inventory'!$E$4:$E$432="Tier 5",'SAN Storage Inventory'!$J$4:$J$432,0),0))</f>
        <v>551828.30999999994</v>
      </c>
      <c r="H34" s="2">
        <f t="array" ref="H34">SUM(IF('SAN Storage Inventory'!$C$4:$C$432="SWDC",IF('SAN Storage Inventory'!$E$4:$E$432="Tier 5",'SAN Storage Inventory'!$K$4:$K$432,0),0))</f>
        <v>492310.33999999997</v>
      </c>
      <c r="I34" s="2">
        <f t="array" ref="I34">SUM(IF('SAN Storage Inventory'!$C$4:$C$432="SWDC",IF('SAN Storage Inventory'!$E$4:$E$432="Tier 5",'SAN Storage Inventory'!$L$4:$L$432,0),0))</f>
        <v>59517.97</v>
      </c>
      <c r="J34" s="79">
        <f t="array" ref="J34">SUM(IF('SAN Storage Inventory'!$C$4:$C$432="SWDC",IF('SAN Storage Inventory'!$E$4:$E$432="Tier 5",'SAN Storage Inventory'!$P$4:$P$432,0),0))</f>
        <v>2</v>
      </c>
    </row>
    <row r="35" spans="1:13" ht="13.5" thickBot="1">
      <c r="A35" s="30" t="s">
        <v>8</v>
      </c>
      <c r="B35" s="27"/>
      <c r="C35" s="27"/>
      <c r="D35" s="28">
        <f t="shared" ref="D35:I35" si="14">SUM(D31:D34)</f>
        <v>17017230.009999998</v>
      </c>
      <c r="E35" s="28">
        <f t="shared" si="14"/>
        <v>15613936.770000003</v>
      </c>
      <c r="F35" s="28">
        <f t="shared" si="14"/>
        <v>112005.09000000001</v>
      </c>
      <c r="G35" s="28">
        <f t="shared" si="14"/>
        <v>13892476.91</v>
      </c>
      <c r="H35" s="28">
        <f t="shared" si="14"/>
        <v>6911756.7000000002</v>
      </c>
      <c r="I35" s="28">
        <f t="shared" si="14"/>
        <v>6980720.2599999998</v>
      </c>
      <c r="J35" s="42">
        <f t="shared" ref="J35" si="15">SUM(J31:J34)</f>
        <v>87</v>
      </c>
    </row>
    <row r="36" spans="1:13" ht="14.25" thickTop="1" thickBot="1">
      <c r="A36" s="4" t="s">
        <v>230</v>
      </c>
      <c r="B36" s="5"/>
      <c r="C36" s="5"/>
      <c r="D36" s="11">
        <f t="shared" ref="D36:J36" si="16">SUMIF($A$6:$A$35,"Site Total",D$6:D$35)</f>
        <v>46523064</v>
      </c>
      <c r="E36" s="11">
        <f t="shared" si="16"/>
        <v>42548462.280000001</v>
      </c>
      <c r="F36" s="11">
        <f t="shared" si="16"/>
        <v>483438.63000000006</v>
      </c>
      <c r="G36" s="11">
        <f t="shared" si="16"/>
        <v>34484708.75</v>
      </c>
      <c r="H36" s="11">
        <f t="shared" si="16"/>
        <v>16562784.350000001</v>
      </c>
      <c r="I36" s="11">
        <f t="shared" si="16"/>
        <v>17921924.41</v>
      </c>
      <c r="J36" s="25">
        <f t="shared" si="16"/>
        <v>268</v>
      </c>
    </row>
    <row r="37" spans="1:13" ht="14.25" thickTop="1" thickBot="1">
      <c r="A37" s="6"/>
      <c r="B37" s="7"/>
      <c r="C37" s="7"/>
      <c r="D37" s="8"/>
      <c r="E37" s="8"/>
      <c r="F37" s="8"/>
      <c r="G37" s="8"/>
      <c r="H37" s="8"/>
      <c r="I37" s="8"/>
      <c r="J37" s="80"/>
    </row>
    <row r="38" spans="1:13" ht="14.25" thickTop="1" thickBot="1">
      <c r="A38" s="61" t="s">
        <v>231</v>
      </c>
      <c r="B38" s="62"/>
      <c r="C38" s="62"/>
      <c r="D38" s="69"/>
      <c r="E38" s="69"/>
      <c r="F38" s="62"/>
      <c r="G38" s="62"/>
      <c r="H38" s="62"/>
      <c r="I38" s="62"/>
      <c r="J38" s="81"/>
    </row>
    <row r="39" spans="1:13" ht="13.5" thickTop="1">
      <c r="A39" s="60" t="s">
        <v>72</v>
      </c>
      <c r="B39" s="26" t="s">
        <v>21</v>
      </c>
      <c r="C39" s="26" t="s">
        <v>23</v>
      </c>
      <c r="D39" s="67">
        <f>SUM(IF('SAN Storage Inventory'!$C$4:$C$432="Columbus",IF('SAN Storage Inventory'!$E$4:$E$432="Tier 1",'SAN Storage Inventory'!$G$4:$G$432,0),0))</f>
        <v>0</v>
      </c>
      <c r="E39" s="67">
        <f t="array" ref="E39">SUM(IF('SAN Storage Inventory'!$C$4:$C$432="Columbus",IF('SAN Storage Inventory'!$E$4:$E$432="Tier 1",'SAN Storage Inventory'!$H$4:$H$432,0),0))</f>
        <v>0</v>
      </c>
      <c r="F39" s="1">
        <f t="array" ref="F39">SUM(IF('SAN Storage Inventory'!$C$4:$C$432="Columbus",IF('SAN Storage Inventory'!$E$4:$E$432="Tier 1",'SAN Storage Inventory'!$I$4:$I$432,0),0))</f>
        <v>0</v>
      </c>
      <c r="G39" s="1">
        <f t="array" ref="G39">SUM(IF('SAN Storage Inventory'!$C$4:$C$432="Columbus",IF('SAN Storage Inventory'!$E$4:$E$432="Tier 1",'SAN Storage Inventory'!$J$4:$J$432,0),0))</f>
        <v>0</v>
      </c>
      <c r="H39" s="1">
        <f t="array" ref="H39">SUM(IF('SAN Storage Inventory'!$C$4:$C$432="Columbus",IF('SAN Storage Inventory'!$E$4:$E$432="Tier 1",'SAN Storage Inventory'!$K$4:$K$432,0),0))</f>
        <v>0</v>
      </c>
      <c r="I39" s="1">
        <f t="array" ref="I39">SUM(IF('SAN Storage Inventory'!$C$4:$C$432="Columbus",IF('SAN Storage Inventory'!$E$4:$E$432="Tier 1",'SAN Storage Inventory'!$L$4:$L$432,0),0))</f>
        <v>0</v>
      </c>
      <c r="J39" s="78">
        <f t="array" ref="J39">SUM(IF('SAN Storage Inventory'!$C$4:$C$432="Columbus",IF('SAN Storage Inventory'!$E$4:$E$432="Tier 1",'SAN Storage Inventory'!$P$4:$P$432,0),0))</f>
        <v>0</v>
      </c>
      <c r="M39" s="37"/>
    </row>
    <row r="40" spans="1:13">
      <c r="A40" s="32" t="s">
        <v>72</v>
      </c>
      <c r="B40" s="3" t="s">
        <v>24</v>
      </c>
      <c r="C40" s="3" t="s">
        <v>53</v>
      </c>
      <c r="D40" s="68">
        <f t="array" ref="D40">SUM(IF('SAN Storage Inventory'!$C$4:$C$432="Columbus",IF('SAN Storage Inventory'!$E$4:$E$432="Tier 2",'SAN Storage Inventory'!$G$4:$G$432,0),0))</f>
        <v>0</v>
      </c>
      <c r="E40" s="68">
        <f t="array" ref="E40">SUM(IF('SAN Storage Inventory'!$C$4:$C$432="Columbus",IF('SAN Storage Inventory'!$E$4:$E$432="Tier 2",'SAN Storage Inventory'!$H$4:$H$432,0),0))</f>
        <v>0</v>
      </c>
      <c r="F40" s="2">
        <f t="array" ref="F40">SUM(IF('SAN Storage Inventory'!$C$4:$C$432="Columbus",IF('SAN Storage Inventory'!$E$4:$E$432="Tier 2",'SAN Storage Inventory'!$I$4:$I$432,0),0))</f>
        <v>0</v>
      </c>
      <c r="G40" s="2">
        <f t="array" ref="G40">SUM(IF('SAN Storage Inventory'!$C$4:$C$432="Columbus",IF('SAN Storage Inventory'!$E$4:$E$432="Tier 2",'SAN Storage Inventory'!$J$4:$J$432,0),0))</f>
        <v>0</v>
      </c>
      <c r="H40" s="2">
        <f t="array" ref="H40">SUM(IF('SAN Storage Inventory'!$C$4:$C$432="Columbus",IF('SAN Storage Inventory'!$E$4:$E$432="Tier 2",'SAN Storage Inventory'!$K$4:$K$432,0),0))</f>
        <v>0</v>
      </c>
      <c r="I40" s="2">
        <f t="array" ref="I40">SUM(IF('SAN Storage Inventory'!$C$4:$C$432="Columbus",IF('SAN Storage Inventory'!$E$4:$E$432="Tier 2",'SAN Storage Inventory'!$L$4:$L$432,0),0))</f>
        <v>0</v>
      </c>
      <c r="J40" s="79">
        <f t="array" ref="J40">SUM(IF('SAN Storage Inventory'!$C$4:$C$432="Columbus",IF('SAN Storage Inventory'!$E$4:$E$432="Tier 2",'SAN Storage Inventory'!$P$4:$P$432,0),0))</f>
        <v>0</v>
      </c>
    </row>
    <row r="41" spans="1:13">
      <c r="A41" s="32" t="s">
        <v>72</v>
      </c>
      <c r="B41" s="3" t="s">
        <v>25</v>
      </c>
      <c r="C41" s="3" t="s">
        <v>53</v>
      </c>
      <c r="D41" s="68">
        <f t="array" ref="D41">SUM(IF('SAN Storage Inventory'!$C$4:$C$432="Columbus",IF('SAN Storage Inventory'!$E$4:$E$432="Tier 4",'SAN Storage Inventory'!$G$4:$G$432,0),0))</f>
        <v>9130</v>
      </c>
      <c r="E41" s="68">
        <f t="array" ref="E41">SUM(IF('SAN Storage Inventory'!$C$4:$C$432="Columbus",IF('SAN Storage Inventory'!$E$4:$E$432="Tier 4",'SAN Storage Inventory'!$H$4:$H$432,0),0))</f>
        <v>8169</v>
      </c>
      <c r="F41" s="2">
        <f t="array" ref="F41">SUM(IF('SAN Storage Inventory'!$C$4:$C$432="Columbus",IF('SAN Storage Inventory'!$E$4:$E$432="Tier 4",'SAN Storage Inventory'!$I$4:$I$432,0),0))</f>
        <v>395.37</v>
      </c>
      <c r="G41" s="2">
        <f t="array" ref="G41">SUM(IF('SAN Storage Inventory'!$C$4:$C$432="Columbus",IF('SAN Storage Inventory'!$E$4:$E$432="Tier 4",'SAN Storage Inventory'!$J$4:$J$432,0),0))</f>
        <v>7117.83</v>
      </c>
      <c r="H41" s="2">
        <f t="array" ref="H41">SUM(IF('SAN Storage Inventory'!$C$4:$C$432="Columbus",IF('SAN Storage Inventory'!$E$4:$E$432="Tier 4",'SAN Storage Inventory'!$K$4:$K$432,0),0))</f>
        <v>7117.83</v>
      </c>
      <c r="I41" s="2">
        <f t="array" ref="I41">SUM(IF('SAN Storage Inventory'!$C$4:$C$432="Columbus",IF('SAN Storage Inventory'!$E$4:$E$432="Tier 4",'SAN Storage Inventory'!$L$4:$L$432,0),0))</f>
        <v>0</v>
      </c>
      <c r="J41" s="79">
        <f t="array" ref="J41">SUM(IF('SAN Storage Inventory'!$C$4:$C$432="Columbus",IF('SAN Storage Inventory'!$E$4:$E$432="Tier 4",'SAN Storage Inventory'!$P$4:$P$432,0),0))</f>
        <v>1</v>
      </c>
    </row>
    <row r="42" spans="1:13">
      <c r="A42" s="32" t="s">
        <v>72</v>
      </c>
      <c r="B42" s="3" t="s">
        <v>50</v>
      </c>
      <c r="C42" s="3" t="s">
        <v>53</v>
      </c>
      <c r="D42" s="68">
        <f t="array" ref="D42">SUM(IF('SAN Storage Inventory'!$C$4:$C$432="Columbus",IF('SAN Storage Inventory'!$E$4:$E$432="Tier 5",'SAN Storage Inventory'!$G$4:$G$432,0),0))</f>
        <v>0</v>
      </c>
      <c r="E42" s="68">
        <f t="array" ref="E42">SUM(IF('SAN Storage Inventory'!$C$4:$C$432="Columbus",IF('SAN Storage Inventory'!$E$4:$E$432="Tier 5",'SAN Storage Inventory'!$H$4:$H$432,0),0))</f>
        <v>0</v>
      </c>
      <c r="F42" s="2">
        <f t="array" ref="F42">SUM(IF('SAN Storage Inventory'!$C$4:$C$432="Columbus",IF('SAN Storage Inventory'!$E$4:$E$432="Tier 5",'SAN Storage Inventory'!$I$4:$I$432,0),0))</f>
        <v>0</v>
      </c>
      <c r="G42" s="2">
        <f t="array" ref="G42">SUM(IF('SAN Storage Inventory'!$C$4:$C$432="Columbus",IF('SAN Storage Inventory'!$E$4:$E$432="Tier 5",'SAN Storage Inventory'!$J$4:$J$432,0),0))</f>
        <v>0</v>
      </c>
      <c r="H42" s="2">
        <f t="array" ref="H42">SUM(IF('SAN Storage Inventory'!$C$4:$C$432="Columbus",IF('SAN Storage Inventory'!$E$4:$E$432="Tier 5",'SAN Storage Inventory'!$K$4:$K$432,0),0))</f>
        <v>0</v>
      </c>
      <c r="I42" s="2">
        <f t="array" ref="I42">SUM(IF('SAN Storage Inventory'!$C$4:$C$432="Columbus",IF('SAN Storage Inventory'!$E$4:$E$432="Tier 5",'SAN Storage Inventory'!$L$4:$L$432,0),0))</f>
        <v>0</v>
      </c>
      <c r="J42" s="79">
        <f t="array" ref="J42">SUM(IF('SAN Storage Inventory'!$C$4:$C$432="Columbus",IF('SAN Storage Inventory'!$E$4:$E$432="Tier 5",'SAN Storage Inventory'!$P$4:$P$432,0),0))</f>
        <v>0</v>
      </c>
    </row>
    <row r="43" spans="1:13" ht="13.5" thickBot="1">
      <c r="A43" s="30" t="s">
        <v>8</v>
      </c>
      <c r="B43" s="27"/>
      <c r="C43" s="27"/>
      <c r="D43" s="28">
        <f t="shared" ref="D43:I43" si="17">SUM(D39:D42)</f>
        <v>9130</v>
      </c>
      <c r="E43" s="28">
        <f t="shared" si="17"/>
        <v>8169</v>
      </c>
      <c r="F43" s="28">
        <f t="shared" si="17"/>
        <v>395.37</v>
      </c>
      <c r="G43" s="28">
        <f t="shared" si="17"/>
        <v>7117.83</v>
      </c>
      <c r="H43" s="28">
        <f t="shared" si="17"/>
        <v>7117.83</v>
      </c>
      <c r="I43" s="28">
        <f t="shared" si="17"/>
        <v>0</v>
      </c>
      <c r="J43" s="42">
        <f t="shared" ref="J43" si="18">SUM(J39:J42)</f>
        <v>1</v>
      </c>
    </row>
    <row r="44" spans="1:13" ht="13.5" thickTop="1">
      <c r="A44" s="60" t="s">
        <v>208</v>
      </c>
      <c r="B44" s="26" t="s">
        <v>21</v>
      </c>
      <c r="C44" s="26" t="s">
        <v>23</v>
      </c>
      <c r="D44" s="67">
        <f t="array" ref="D44">SUM(IF('SAN Storage Inventory'!$C$4:$C$432="Jacksonville",IF('SAN Storage Inventory'!$E$4:$E$432="Tier 1",'SAN Storage Inventory'!$G$4:$G$432,0),0))</f>
        <v>0</v>
      </c>
      <c r="E44" s="67">
        <f t="array" ref="E44">SUM(IF('SAN Storage Inventory'!$C$4:$C$432="Jacksonville",IF('SAN Storage Inventory'!$E$4:$E$432="Tier 1",'SAN Storage Inventory'!$H$4:$H$432,0),0))</f>
        <v>0</v>
      </c>
      <c r="F44" s="1">
        <f t="array" ref="F44">SUM(IF('SAN Storage Inventory'!$C$4:$C$432="Jacksonville",IF('SAN Storage Inventory'!$E$4:$E$432="Tier 1",'SAN Storage Inventory'!$I$4:$I$432,0),0))</f>
        <v>0</v>
      </c>
      <c r="G44" s="1">
        <f t="array" ref="G44">SUM(IF('SAN Storage Inventory'!$C$4:$C$432="Jacksonville",IF('SAN Storage Inventory'!$E$4:$E$432="Tier 1",'SAN Storage Inventory'!$J$4:$J$432,0),0))</f>
        <v>0</v>
      </c>
      <c r="H44" s="1">
        <f t="array" ref="H44">SUM(IF('SAN Storage Inventory'!$C$4:$C$432="Jacksonville",IF('SAN Storage Inventory'!$E$4:$E$432="Tier 1",'SAN Storage Inventory'!$K$4:$K$432,0),0))</f>
        <v>0</v>
      </c>
      <c r="I44" s="1">
        <f t="array" ref="I44">SUM(IF('SAN Storage Inventory'!$C$4:$C$432="Jacksonville",IF('SAN Storage Inventory'!$E$4:$E$432="Tier 1",'SAN Storage Inventory'!$L$4:$L$432,0),0))</f>
        <v>0</v>
      </c>
      <c r="J44" s="78">
        <f t="array" ref="J44">SUM(IF('SAN Storage Inventory'!$C$4:$C$432="Jacksonville",IF('SAN Storage Inventory'!$E$4:$E$432="Tier 1",'SAN Storage Inventory'!$P$4:$P$432,0),0))</f>
        <v>0</v>
      </c>
      <c r="M44" s="37"/>
    </row>
    <row r="45" spans="1:13">
      <c r="A45" s="32" t="s">
        <v>208</v>
      </c>
      <c r="B45" s="3" t="s">
        <v>24</v>
      </c>
      <c r="C45" s="3" t="s">
        <v>53</v>
      </c>
      <c r="D45" s="68">
        <f t="array" ref="D45">SUM(IF('SAN Storage Inventory'!$C$4:$C$432="Jacksonville",IF('SAN Storage Inventory'!$E$4:$E$432="Tier 2",'SAN Storage Inventory'!$G$4:$G$432,0),0))</f>
        <v>11680</v>
      </c>
      <c r="E45" s="68">
        <f t="array" ref="E45">SUM(IF('SAN Storage Inventory'!$C$4:$C$432="Jacksonville",IF('SAN Storage Inventory'!$E$4:$E$432="Tier 2",'SAN Storage Inventory'!$H$4:$H$432,0),0))</f>
        <v>10938.62</v>
      </c>
      <c r="F45" s="2">
        <f t="array" ref="F45">SUM(IF('SAN Storage Inventory'!$C$4:$C$432="Jacksonville",IF('SAN Storage Inventory'!$E$4:$E$432="Tier 2",'SAN Storage Inventory'!$I$4:$I$432,0),0))</f>
        <v>94.38</v>
      </c>
      <c r="G45" s="2">
        <f t="array" ref="G45">SUM(IF('SAN Storage Inventory'!$C$4:$C$432="Jacksonville",IF('SAN Storage Inventory'!$E$4:$E$432="Tier 2",'SAN Storage Inventory'!$J$4:$J$432,0),0))</f>
        <v>10886.14</v>
      </c>
      <c r="H45" s="2">
        <f t="array" ref="H45">SUM(IF('SAN Storage Inventory'!$C$4:$C$432="Jacksonville",IF('SAN Storage Inventory'!$E$4:$E$432="Tier 2",'SAN Storage Inventory'!$K$4:$K$432,0),0))</f>
        <v>10687.91</v>
      </c>
      <c r="I45" s="2">
        <f t="array" ref="I45">SUM(IF('SAN Storage Inventory'!$C$4:$C$432="Jacksonville",IF('SAN Storage Inventory'!$E$4:$E$432="Tier 2",'SAN Storage Inventory'!$L$4:$L$432,0),0))</f>
        <v>198.23</v>
      </c>
      <c r="J45" s="79">
        <f t="array" ref="J45">SUM(IF('SAN Storage Inventory'!$C$4:$C$432="Jacksonville",IF('SAN Storage Inventory'!$E$4:$E$432="Tier 2",'SAN Storage Inventory'!$P$4:$P$432,0),0))</f>
        <v>1</v>
      </c>
    </row>
    <row r="46" spans="1:13">
      <c r="A46" s="32" t="s">
        <v>208</v>
      </c>
      <c r="B46" s="3" t="s">
        <v>25</v>
      </c>
      <c r="C46" s="3" t="s">
        <v>53</v>
      </c>
      <c r="D46" s="68">
        <f t="array" ref="D46">SUM(IF('SAN Storage Inventory'!$C$4:$C$432="Jacksonville",IF('SAN Storage Inventory'!$E$4:$E$432="Tier 4",'SAN Storage Inventory'!$G$4:$G$432,0),0))</f>
        <v>82714</v>
      </c>
      <c r="E46" s="68">
        <f t="array" ref="E46">SUM(IF('SAN Storage Inventory'!$C$4:$C$432="Jacksonville",IF('SAN Storage Inventory'!$E$4:$E$432="Tier 4",'SAN Storage Inventory'!$H$4:$H$432,0),0))</f>
        <v>74225.350000000006</v>
      </c>
      <c r="F46" s="2">
        <f t="array" ref="F46">SUM(IF('SAN Storage Inventory'!$C$4:$C$432="Jacksonville",IF('SAN Storage Inventory'!$E$4:$E$432="Tier 4",'SAN Storage Inventory'!$I$4:$I$432,0),0))</f>
        <v>6252.86</v>
      </c>
      <c r="G46" s="2">
        <f t="array" ref="G46">SUM(IF('SAN Storage Inventory'!$C$4:$C$432="Jacksonville",IF('SAN Storage Inventory'!$E$4:$E$432="Tier 4",'SAN Storage Inventory'!$J$4:$J$432,0),0))</f>
        <v>58396.369999999995</v>
      </c>
      <c r="H46" s="2">
        <f t="array" ref="H46">SUM(IF('SAN Storage Inventory'!$C$4:$C$432="Jacksonville",IF('SAN Storage Inventory'!$E$4:$E$432="Tier 4",'SAN Storage Inventory'!$K$4:$K$432,0),0))</f>
        <v>36806.49</v>
      </c>
      <c r="I46" s="2">
        <f t="array" ref="I46">SUM(IF('SAN Storage Inventory'!$C$4:$C$432="Jacksonville",IF('SAN Storage Inventory'!$E$4:$E$432="Tier 4",'SAN Storage Inventory'!$L$4:$L$432,0),0))</f>
        <v>21589.88</v>
      </c>
      <c r="J46" s="79">
        <f t="array" ref="J46">SUM(IF('SAN Storage Inventory'!$C$4:$C$432="Jacksonville",IF('SAN Storage Inventory'!$E$4:$E$432="Tier 4",'SAN Storage Inventory'!$P$4:$P$432,0),0))</f>
        <v>4</v>
      </c>
    </row>
    <row r="47" spans="1:13">
      <c r="A47" s="32" t="s">
        <v>208</v>
      </c>
      <c r="B47" s="3" t="s">
        <v>50</v>
      </c>
      <c r="C47" s="3" t="s">
        <v>53</v>
      </c>
      <c r="D47" s="68">
        <f t="array" ref="D47">SUM(IF('SAN Storage Inventory'!$C$4:$C$432="Jacksonville",IF('SAN Storage Inventory'!$E$4:$E$432="Tier 5",'SAN Storage Inventory'!$G$4:$G$432,0),0))</f>
        <v>0</v>
      </c>
      <c r="E47" s="68">
        <f t="array" ref="E47">SUM(IF('SAN Storage Inventory'!$C$4:$C$432="Jacksonville",IF('SAN Storage Inventory'!$E$4:$E$432="Tier 5",'SAN Storage Inventory'!$H$4:$H$432,0),0))</f>
        <v>0</v>
      </c>
      <c r="F47" s="2">
        <f t="array" ref="F47">SUM(IF('SAN Storage Inventory'!$C$4:$C$432="Jacksonville",IF('SAN Storage Inventory'!$E$4:$E$432="Tier 5",'SAN Storage Inventory'!$I$4:$I$432,0),0))</f>
        <v>0</v>
      </c>
      <c r="G47" s="2">
        <f t="array" ref="G47">SUM(IF('SAN Storage Inventory'!$C$4:$C$432="Jacksonville",IF('SAN Storage Inventory'!$E$4:$E$432="Tier 5",'SAN Storage Inventory'!$J$4:$J$432,0),0))</f>
        <v>0</v>
      </c>
      <c r="H47" s="2">
        <f t="array" ref="H47">SUM(IF('SAN Storage Inventory'!$C$4:$C$432="Jacksonville",IF('SAN Storage Inventory'!$E$4:$E$432="Tier 5",'SAN Storage Inventory'!$K$4:$K$432,0),0))</f>
        <v>0</v>
      </c>
      <c r="I47" s="2">
        <f t="array" ref="I47">SUM(IF('SAN Storage Inventory'!$C$4:$C$432="Jacksonville",IF('SAN Storage Inventory'!$E$4:$E$432="Tier 5",'SAN Storage Inventory'!$L$4:$L$432,0),0))</f>
        <v>0</v>
      </c>
      <c r="J47" s="79">
        <f t="array" ref="J47">SUM(IF('SAN Storage Inventory'!$C$4:$C$432="Jacksonville",IF('SAN Storage Inventory'!$E$4:$E$432="Tier 5",'SAN Storage Inventory'!$P$4:$P$432,0),0))</f>
        <v>0</v>
      </c>
    </row>
    <row r="48" spans="1:13" ht="13.5" thickBot="1">
      <c r="A48" s="30" t="s">
        <v>8</v>
      </c>
      <c r="B48" s="27"/>
      <c r="C48" s="27"/>
      <c r="D48" s="28">
        <f t="shared" ref="D48:I48" si="19">SUM(D44:D47)</f>
        <v>94394</v>
      </c>
      <c r="E48" s="28">
        <f t="shared" si="19"/>
        <v>85163.97</v>
      </c>
      <c r="F48" s="28">
        <f t="shared" si="19"/>
        <v>6347.24</v>
      </c>
      <c r="G48" s="28">
        <f t="shared" si="19"/>
        <v>69282.509999999995</v>
      </c>
      <c r="H48" s="28">
        <f t="shared" si="19"/>
        <v>47494.399999999994</v>
      </c>
      <c r="I48" s="28">
        <f t="shared" si="19"/>
        <v>21788.11</v>
      </c>
      <c r="J48" s="42">
        <f t="shared" ref="J48" si="20">SUM(J44:J47)</f>
        <v>5</v>
      </c>
    </row>
    <row r="49" spans="1:13" ht="13.5" thickTop="1">
      <c r="A49" s="60" t="s">
        <v>217</v>
      </c>
      <c r="B49" s="26" t="s">
        <v>21</v>
      </c>
      <c r="C49" s="26" t="s">
        <v>23</v>
      </c>
      <c r="D49" s="67">
        <f t="array" ref="D49">SUM(IF('SAN Storage Inventory'!$C$4:$C$432="London",IF('SAN Storage Inventory'!$E$4:$E$432="Tier 1",'SAN Storage Inventory'!$G$4:$G$432,0),0))</f>
        <v>0</v>
      </c>
      <c r="E49" s="67">
        <f t="array" ref="E49">SUM(IF('SAN Storage Inventory'!$C$4:$C$432="London",IF('SAN Storage Inventory'!$E$4:$E$432="Tier 1",'SAN Storage Inventory'!$H$4:$H$432,0),0))</f>
        <v>0</v>
      </c>
      <c r="F49" s="1">
        <f t="array" ref="F49">SUM(IF('SAN Storage Inventory'!$C$4:$C$432="London",IF('SAN Storage Inventory'!$E$4:$E$432="Tier 1",'SAN Storage Inventory'!$I$4:$I$432,0),0))</f>
        <v>0</v>
      </c>
      <c r="G49" s="1">
        <f t="array" ref="G49">SUM(IF('SAN Storage Inventory'!$C$4:$C$432="London",IF('SAN Storage Inventory'!$E$4:$E$432="Tier 1",'SAN Storage Inventory'!$J$4:$J$432,0),0))</f>
        <v>0</v>
      </c>
      <c r="H49" s="1">
        <f t="array" ref="H49">SUM(IF('SAN Storage Inventory'!$C$4:$C$432="London",IF('SAN Storage Inventory'!$E$4:$E$432="Tier 1",'SAN Storage Inventory'!$K$4:$K$432,0),0))</f>
        <v>0</v>
      </c>
      <c r="I49" s="1">
        <f t="array" ref="I49">SUM(IF('SAN Storage Inventory'!$C$4:$C$432="London",IF('SAN Storage Inventory'!$E$4:$E$432="Tier 1",'SAN Storage Inventory'!$L$4:$L$432,0),0))</f>
        <v>0</v>
      </c>
      <c r="J49" s="78">
        <f t="array" ref="J49">SUM(IF('SAN Storage Inventory'!$C$4:$C$432="London",IF('SAN Storage Inventory'!$E$4:$E$432="Tier 1",'SAN Storage Inventory'!$P$4:$P$432,0),0))</f>
        <v>0</v>
      </c>
      <c r="M49" s="37"/>
    </row>
    <row r="50" spans="1:13">
      <c r="A50" s="32" t="s">
        <v>217</v>
      </c>
      <c r="B50" s="3" t="s">
        <v>24</v>
      </c>
      <c r="C50" s="3" t="s">
        <v>53</v>
      </c>
      <c r="D50" s="68">
        <f t="array" ref="D50">SUM(IF('SAN Storage Inventory'!$C$4:$C$432="London",IF('SAN Storage Inventory'!$E$4:$E$432="Tier 2",'SAN Storage Inventory'!$G$4:$G$432,0),0))</f>
        <v>0</v>
      </c>
      <c r="E50" s="68">
        <f t="array" ref="E50">SUM(IF('SAN Storage Inventory'!$C$4:$C$432="London",IF('SAN Storage Inventory'!$E$4:$E$432="Tier 2",'SAN Storage Inventory'!$H$4:$H$432,0),0))</f>
        <v>0</v>
      </c>
      <c r="F50" s="2">
        <f t="array" ref="F50">SUM(IF('SAN Storage Inventory'!$C$4:$C$432="London",IF('SAN Storage Inventory'!$E$4:$E$432="Tier 2",'SAN Storage Inventory'!$I$4:$I$432,0),0))</f>
        <v>0</v>
      </c>
      <c r="G50" s="2">
        <f t="array" ref="G50">SUM(IF('SAN Storage Inventory'!$C$4:$C$432="London",IF('SAN Storage Inventory'!$E$4:$E$432="Tier 2",'SAN Storage Inventory'!$J$4:$J$432,0),0))</f>
        <v>0</v>
      </c>
      <c r="H50" s="2">
        <f t="array" ref="H50">SUM(IF('SAN Storage Inventory'!$C$4:$C$432="London",IF('SAN Storage Inventory'!$E$4:$E$432="Tier 2",'SAN Storage Inventory'!$K$4:$K$432,0),0))</f>
        <v>0</v>
      </c>
      <c r="I50" s="2">
        <f t="array" ref="I50">SUM(IF('SAN Storage Inventory'!$C$4:$C$432="London",IF('SAN Storage Inventory'!$E$4:$E$432="Tier 2",'SAN Storage Inventory'!$L$4:$L$432,0),0))</f>
        <v>0</v>
      </c>
      <c r="J50" s="79">
        <f t="array" ref="J50">SUM(IF('SAN Storage Inventory'!$C$4:$C$432="London",IF('SAN Storage Inventory'!$E$4:$E$432="Tier 2",'SAN Storage Inventory'!$P$4:$P$432,0),0))</f>
        <v>0</v>
      </c>
    </row>
    <row r="51" spans="1:13">
      <c r="A51" s="32" t="s">
        <v>217</v>
      </c>
      <c r="B51" s="3" t="s">
        <v>25</v>
      </c>
      <c r="C51" s="3" t="s">
        <v>53</v>
      </c>
      <c r="D51" s="68">
        <f t="array" ref="D51">SUM(IF('SAN Storage Inventory'!$C$4:$C$432="London",IF('SAN Storage Inventory'!$E$4:$E$432="Tier 4",'SAN Storage Inventory'!$G$4:$G$432,0),0))</f>
        <v>20458</v>
      </c>
      <c r="E51" s="68">
        <f t="array" ref="E51">SUM(IF('SAN Storage Inventory'!$C$4:$C$432="London",IF('SAN Storage Inventory'!$E$4:$E$432="Tier 4",'SAN Storage Inventory'!$H$4:$H$432,0),0))</f>
        <v>18326</v>
      </c>
      <c r="F51" s="2">
        <f t="array" ref="F51">SUM(IF('SAN Storage Inventory'!$C$4:$C$432="London",IF('SAN Storage Inventory'!$E$4:$E$432="Tier 4",'SAN Storage Inventory'!$I$4:$I$432,0),0))</f>
        <v>1005.67</v>
      </c>
      <c r="G51" s="2">
        <f t="array" ref="G51">SUM(IF('SAN Storage Inventory'!$C$4:$C$432="London",IF('SAN Storage Inventory'!$E$4:$E$432="Tier 4",'SAN Storage Inventory'!$J$4:$J$432,0),0))</f>
        <v>13835.33</v>
      </c>
      <c r="H51" s="2">
        <f t="array" ref="H51">SUM(IF('SAN Storage Inventory'!$C$4:$C$432="London",IF('SAN Storage Inventory'!$E$4:$E$432="Tier 4",'SAN Storage Inventory'!$K$4:$K$432,0),0))</f>
        <v>11964.27</v>
      </c>
      <c r="I51" s="2">
        <f t="array" ref="I51">SUM(IF('SAN Storage Inventory'!$C$4:$C$432="London",IF('SAN Storage Inventory'!$E$4:$E$432="Tier 4",'SAN Storage Inventory'!$L$4:$L$432,0),0))</f>
        <v>1871.06</v>
      </c>
      <c r="J51" s="79">
        <f t="array" ref="J51">SUM(IF('SAN Storage Inventory'!$C$4:$C$432="London",IF('SAN Storage Inventory'!$E$4:$E$432="Tier 4",'SAN Storage Inventory'!$P$4:$P$432,0),0))</f>
        <v>2</v>
      </c>
    </row>
    <row r="52" spans="1:13">
      <c r="A52" s="32" t="s">
        <v>217</v>
      </c>
      <c r="B52" s="3" t="s">
        <v>50</v>
      </c>
      <c r="C52" s="3" t="s">
        <v>53</v>
      </c>
      <c r="D52" s="68">
        <f t="array" ref="D52">SUM(IF('SAN Storage Inventory'!$C$4:$C$432="London",IF('SAN Storage Inventory'!$E$4:$E$432="Tier 5",'SAN Storage Inventory'!$G$4:$G$432,0),0))</f>
        <v>0</v>
      </c>
      <c r="E52" s="68">
        <f t="array" ref="E52">SUM(IF('SAN Storage Inventory'!$C$4:$C$432="London",IF('SAN Storage Inventory'!$E$4:$E$432="Tier 5",'SAN Storage Inventory'!$H$4:$H$432,0),0))</f>
        <v>0</v>
      </c>
      <c r="F52" s="2">
        <f t="array" ref="F52">SUM(IF('SAN Storage Inventory'!$C$4:$C$432="London",IF('SAN Storage Inventory'!$E$4:$E$432="Tier 5",'SAN Storage Inventory'!$I$4:$I$432,0),0))</f>
        <v>0</v>
      </c>
      <c r="G52" s="2">
        <f t="array" ref="G52">SUM(IF('SAN Storage Inventory'!$C$4:$C$432="London",IF('SAN Storage Inventory'!$E$4:$E$432="Tier 5",'SAN Storage Inventory'!$J$4:$J$432,0),0))</f>
        <v>0</v>
      </c>
      <c r="H52" s="2">
        <f t="array" ref="H52">SUM(IF('SAN Storage Inventory'!$C$4:$C$432="London",IF('SAN Storage Inventory'!$E$4:$E$432="Tier 5",'SAN Storage Inventory'!$K$4:$K$432,0),0))</f>
        <v>0</v>
      </c>
      <c r="I52" s="2">
        <f t="array" ref="I52">SUM(IF('SAN Storage Inventory'!$C$4:$C$432="London",IF('SAN Storage Inventory'!$E$4:$E$432="Tier 5",'SAN Storage Inventory'!$L$4:$L$432,0),0))</f>
        <v>0</v>
      </c>
      <c r="J52" s="79">
        <f t="array" ref="J52">SUM(IF('SAN Storage Inventory'!$C$4:$C$432="London",IF('SAN Storage Inventory'!$E$4:$E$432="Tier 5",'SAN Storage Inventory'!$P$4:$P$432,0),0))</f>
        <v>0</v>
      </c>
    </row>
    <row r="53" spans="1:13" ht="13.5" thickBot="1">
      <c r="A53" s="30" t="s">
        <v>8</v>
      </c>
      <c r="B53" s="27"/>
      <c r="C53" s="27"/>
      <c r="D53" s="28">
        <f t="shared" ref="D53:I53" si="21">SUM(D49:D52)</f>
        <v>20458</v>
      </c>
      <c r="E53" s="28">
        <f t="shared" si="21"/>
        <v>18326</v>
      </c>
      <c r="F53" s="28">
        <f t="shared" si="21"/>
        <v>1005.67</v>
      </c>
      <c r="G53" s="28">
        <f t="shared" si="21"/>
        <v>13835.33</v>
      </c>
      <c r="H53" s="28">
        <f t="shared" si="21"/>
        <v>11964.27</v>
      </c>
      <c r="I53" s="28">
        <f t="shared" si="21"/>
        <v>1871.06</v>
      </c>
      <c r="J53" s="42">
        <f t="shared" ref="J53" si="22">SUM(J49:J52)</f>
        <v>2</v>
      </c>
    </row>
    <row r="54" spans="1:13" ht="13.5" thickTop="1">
      <c r="A54" s="60" t="s">
        <v>221</v>
      </c>
      <c r="B54" s="26" t="s">
        <v>21</v>
      </c>
      <c r="C54" s="26" t="s">
        <v>23</v>
      </c>
      <c r="D54" s="67">
        <f t="array" ref="D54">SUM(IF('SAN Storage Inventory'!$C$4:$C$432="Mississauga",IF('SAN Storage Inventory'!$E$4:$E$432="Tier 1",'SAN Storage Inventory'!$G$4:$G$432,0),0))</f>
        <v>0</v>
      </c>
      <c r="E54" s="67">
        <f t="array" ref="E54">SUM(IF('SAN Storage Inventory'!$C$4:$C$432="Mississauga",IF('SAN Storage Inventory'!$E$4:$E$432="Tier 1",'SAN Storage Inventory'!$H$4:$H$432,0),0))</f>
        <v>0</v>
      </c>
      <c r="F54" s="1">
        <f t="array" ref="F54">SUM(IF('SAN Storage Inventory'!$C$4:$C$432="Mississauga",IF('SAN Storage Inventory'!$E$4:$E$432="Tier 1",'SAN Storage Inventory'!$I$4:$I$432,0),0))</f>
        <v>0</v>
      </c>
      <c r="G54" s="1">
        <f t="array" ref="G54">SUM(IF('SAN Storage Inventory'!$C$4:$C$432="Mississauga",IF('SAN Storage Inventory'!$E$4:$E$432="Tier 1",'SAN Storage Inventory'!$J$4:$J$432,0),0))</f>
        <v>0</v>
      </c>
      <c r="H54" s="1">
        <f t="array" ref="H54">SUM(IF('SAN Storage Inventory'!$C$4:$C$432="Mississauga",IF('SAN Storage Inventory'!$E$4:$E$432="Tier 1",'SAN Storage Inventory'!$K$4:$K$432,0),0))</f>
        <v>0</v>
      </c>
      <c r="I54" s="1">
        <f t="array" ref="I54">SUM(IF('SAN Storage Inventory'!$C$4:$C$432="Mississauga",IF('SAN Storage Inventory'!$E$4:$E$432="Tier 1",'SAN Storage Inventory'!$L$4:$L$432,0),0))</f>
        <v>0</v>
      </c>
      <c r="J54" s="78">
        <f t="array" ref="J54">SUM(IF('SAN Storage Inventory'!$C$4:$C$432="Mississauga",IF('SAN Storage Inventory'!$E$4:$E$432="Tier 1",'SAN Storage Inventory'!$P$4:$P$432,0),0))</f>
        <v>0</v>
      </c>
      <c r="M54" s="37"/>
    </row>
    <row r="55" spans="1:13">
      <c r="A55" s="32" t="s">
        <v>221</v>
      </c>
      <c r="B55" s="3" t="s">
        <v>24</v>
      </c>
      <c r="C55" s="3" t="s">
        <v>53</v>
      </c>
      <c r="D55" s="68">
        <f t="array" ref="D55">SUM(IF('SAN Storage Inventory'!$C$4:$C$432="Mississauga",IF('SAN Storage Inventory'!$E$4:$E$432="Tier 2",'SAN Storage Inventory'!$G$4:$G$432,0),0))</f>
        <v>0</v>
      </c>
      <c r="E55" s="68">
        <f t="array" ref="E55">SUM(IF('SAN Storage Inventory'!$C$4:$C$432="Mississauga",IF('SAN Storage Inventory'!$E$4:$E$432="Tier 2",'SAN Storage Inventory'!$H$4:$H$432,0),0))</f>
        <v>0</v>
      </c>
      <c r="F55" s="2">
        <f t="array" ref="F55">SUM(IF('SAN Storage Inventory'!$C$4:$C$432="Mississauga",IF('SAN Storage Inventory'!$E$4:$E$432="Tier 2",'SAN Storage Inventory'!$I$4:$I$432,0),0))</f>
        <v>0</v>
      </c>
      <c r="G55" s="2">
        <f t="array" ref="G55">SUM(IF('SAN Storage Inventory'!$C$4:$C$432="Mississauga",IF('SAN Storage Inventory'!$E$4:$E$432="Tier 2",'SAN Storage Inventory'!$J$4:$J$432,0),0))</f>
        <v>0</v>
      </c>
      <c r="H55" s="2">
        <f t="array" ref="H55">SUM(IF('SAN Storage Inventory'!$C$4:$C$432="Mississauga",IF('SAN Storage Inventory'!$E$4:$E$432="Tier 2",'SAN Storage Inventory'!$K$4:$K$432,0),0))</f>
        <v>0</v>
      </c>
      <c r="I55" s="2">
        <f t="array" ref="I55">SUM(IF('SAN Storage Inventory'!$C$4:$C$432="Mississauga",IF('SAN Storage Inventory'!$E$4:$E$432="Tier 2",'SAN Storage Inventory'!$L$4:$L$432,0),0))</f>
        <v>0</v>
      </c>
      <c r="J55" s="79">
        <f t="array" ref="J55">SUM(IF('SAN Storage Inventory'!$C$4:$C$432="Mississauga",IF('SAN Storage Inventory'!$E$4:$E$432="Tier 2",'SAN Storage Inventory'!$P$4:$P$432,0),0))</f>
        <v>0</v>
      </c>
    </row>
    <row r="56" spans="1:13">
      <c r="A56" s="32" t="s">
        <v>221</v>
      </c>
      <c r="B56" s="3" t="s">
        <v>25</v>
      </c>
      <c r="C56" s="3" t="s">
        <v>53</v>
      </c>
      <c r="D56" s="68">
        <f t="array" ref="D56">SUM(IF('SAN Storage Inventory'!$C$4:$C$432="Mississauga",IF('SAN Storage Inventory'!$E$4:$E$432="Tier 4",'SAN Storage Inventory'!$G$4:$G$432,0),0))</f>
        <v>115680</v>
      </c>
      <c r="E56" s="68">
        <f t="array" ref="E56">SUM(IF('SAN Storage Inventory'!$C$4:$C$432="Mississauga",IF('SAN Storage Inventory'!$E$4:$E$432="Tier 4",'SAN Storage Inventory'!$H$4:$H$432,0),0))</f>
        <v>103804</v>
      </c>
      <c r="F56" s="2">
        <f t="array" ref="F56">SUM(IF('SAN Storage Inventory'!$C$4:$C$432="Mississauga",IF('SAN Storage Inventory'!$E$4:$E$432="Tier 4",'SAN Storage Inventory'!$I$4:$I$432,0),0))</f>
        <v>5295.78</v>
      </c>
      <c r="G56" s="2">
        <f t="array" ref="G56">SUM(IF('SAN Storage Inventory'!$C$4:$C$432="Mississauga",IF('SAN Storage Inventory'!$E$4:$E$432="Tier 4",'SAN Storage Inventory'!$J$4:$J$432,0),0))</f>
        <v>82254.650000000009</v>
      </c>
      <c r="H56" s="2">
        <f t="array" ref="H56">SUM(IF('SAN Storage Inventory'!$C$4:$C$432="Mississauga",IF('SAN Storage Inventory'!$E$4:$E$432="Tier 4",'SAN Storage Inventory'!$K$4:$K$432,0),0))</f>
        <v>78525.62</v>
      </c>
      <c r="I56" s="2">
        <f t="array" ref="I56">SUM(IF('SAN Storage Inventory'!$C$4:$C$432="Mississauga",IF('SAN Storage Inventory'!$E$4:$E$432="Tier 4",'SAN Storage Inventory'!$L$4:$L$432,0),0))</f>
        <v>3729.03</v>
      </c>
      <c r="J56" s="79">
        <f t="array" ref="J56">SUM(IF('SAN Storage Inventory'!$C$4:$C$432="Mississauga",IF('SAN Storage Inventory'!$E$4:$E$432="Tier 4",'SAN Storage Inventory'!$P$4:$P$432,0),0))</f>
        <v>3</v>
      </c>
    </row>
    <row r="57" spans="1:13">
      <c r="A57" s="32" t="s">
        <v>221</v>
      </c>
      <c r="B57" s="3" t="s">
        <v>50</v>
      </c>
      <c r="C57" s="3" t="s">
        <v>53</v>
      </c>
      <c r="D57" s="68">
        <f t="array" ref="D57">SUM(IF('SAN Storage Inventory'!$C$4:$C$432="Mississauga",IF('SAN Storage Inventory'!$E$4:$E$432="Tier 5",'SAN Storage Inventory'!$G$4:$G$432,0),0))</f>
        <v>193300</v>
      </c>
      <c r="E57" s="68">
        <f t="array" ref="E57">SUM(IF('SAN Storage Inventory'!$C$4:$C$432="Mississauga",IF('SAN Storage Inventory'!$E$4:$E$432="Tier 5",'SAN Storage Inventory'!$H$4:$H$432,0),0))</f>
        <v>185675</v>
      </c>
      <c r="F57" s="2">
        <f t="array" ref="F57">SUM(IF('SAN Storage Inventory'!$C$4:$C$432="Mississauga",IF('SAN Storage Inventory'!$E$4:$E$432="Tier 5",'SAN Storage Inventory'!$I$4:$I$432,0),0))</f>
        <v>41462.770000000004</v>
      </c>
      <c r="G57" s="2">
        <f t="array" ref="G57">SUM(IF('SAN Storage Inventory'!$C$4:$C$432="Mississauga",IF('SAN Storage Inventory'!$E$4:$E$432="Tier 5",'SAN Storage Inventory'!$J$4:$J$432,0),0))</f>
        <v>143108.04</v>
      </c>
      <c r="H57" s="2">
        <f t="array" ref="H57">SUM(IF('SAN Storage Inventory'!$C$4:$C$432="Mississauga",IF('SAN Storage Inventory'!$E$4:$E$432="Tier 5",'SAN Storage Inventory'!$K$4:$K$432,0),0))</f>
        <v>74795.049999999988</v>
      </c>
      <c r="I57" s="2">
        <f t="array" ref="I57">SUM(IF('SAN Storage Inventory'!$C$4:$C$432="Mississauga",IF('SAN Storage Inventory'!$E$4:$E$432="Tier 5",'SAN Storage Inventory'!$L$4:$L$432,0),0))</f>
        <v>68313</v>
      </c>
      <c r="J57" s="79">
        <f t="array" ref="J57">SUM(IF('SAN Storage Inventory'!$C$4:$C$432="Mississauga",IF('SAN Storage Inventory'!$E$4:$E$432="Tier 5",'SAN Storage Inventory'!$P$4:$P$432,0),0))</f>
        <v>0</v>
      </c>
    </row>
    <row r="58" spans="1:13" ht="13.5" thickBot="1">
      <c r="A58" s="30" t="s">
        <v>8</v>
      </c>
      <c r="B58" s="27"/>
      <c r="C58" s="27"/>
      <c r="D58" s="28">
        <f t="shared" ref="D58:I58" si="23">SUM(D54:D57)</f>
        <v>308980</v>
      </c>
      <c r="E58" s="28">
        <f t="shared" si="23"/>
        <v>289479</v>
      </c>
      <c r="F58" s="28">
        <f t="shared" si="23"/>
        <v>46758.55</v>
      </c>
      <c r="G58" s="28">
        <f t="shared" si="23"/>
        <v>225362.69</v>
      </c>
      <c r="H58" s="28">
        <f t="shared" si="23"/>
        <v>153320.66999999998</v>
      </c>
      <c r="I58" s="28">
        <f t="shared" si="23"/>
        <v>72042.03</v>
      </c>
      <c r="J58" s="42">
        <f t="shared" ref="J58" si="24">SUM(J54:J57)</f>
        <v>3</v>
      </c>
    </row>
    <row r="59" spans="1:13" ht="13.5" thickTop="1">
      <c r="A59" s="60" t="s">
        <v>224</v>
      </c>
      <c r="B59" s="26" t="s">
        <v>21</v>
      </c>
      <c r="C59" s="26" t="s">
        <v>23</v>
      </c>
      <c r="D59" s="67">
        <f t="array" ref="D59">SUM(IF('SAN Storage Inventory'!$C$4:$C$432="Nevada",IF('SAN Storage Inventory'!$E$4:$E$432="Tier 1",'SAN Storage Inventory'!$G$4:$G$432,0),0))</f>
        <v>0</v>
      </c>
      <c r="E59" s="67">
        <f t="array" ref="E59">SUM(IF('SAN Storage Inventory'!$C$4:$C$432="Nevada",IF('SAN Storage Inventory'!$E$4:$E$432="Tier 1",'SAN Storage Inventory'!$H$4:$H$432,0),0))</f>
        <v>0</v>
      </c>
      <c r="F59" s="1">
        <f t="array" ref="F59">SUM(IF('SAN Storage Inventory'!$C$4:$C$432="Nevada",IF('SAN Storage Inventory'!$E$4:$E$432="Tier 1",'SAN Storage Inventory'!$I$4:$I$432,0),0))</f>
        <v>0</v>
      </c>
      <c r="G59" s="1">
        <f t="array" ref="G59">SUM(IF('SAN Storage Inventory'!$C$4:$C$432="Nevada",IF('SAN Storage Inventory'!$E$4:$E$432="Tier 1",'SAN Storage Inventory'!$J$4:$J$432,0),0))</f>
        <v>0</v>
      </c>
      <c r="H59" s="1">
        <f t="array" ref="H59">SUM(IF('SAN Storage Inventory'!$C$4:$C$432="Nevada",IF('SAN Storage Inventory'!$E$4:$E$432="Tier 1",'SAN Storage Inventory'!$K$4:$K$432,0),0))</f>
        <v>0</v>
      </c>
      <c r="I59" s="1">
        <f t="array" ref="I59">SUM(IF('SAN Storage Inventory'!$C$4:$C$432="Nevada",IF('SAN Storage Inventory'!$E$4:$E$432="Tier 1",'SAN Storage Inventory'!$L$4:$L$432,0),0))</f>
        <v>0</v>
      </c>
      <c r="J59" s="78">
        <f t="array" ref="J59">SUM(IF('SAN Storage Inventory'!$C$4:$C$432="Nevada",IF('SAN Storage Inventory'!$E$4:$E$432="Tier 1",'SAN Storage Inventory'!$P$4:$P$432,0),0))</f>
        <v>0</v>
      </c>
      <c r="M59" s="37"/>
    </row>
    <row r="60" spans="1:13">
      <c r="A60" s="32" t="s">
        <v>224</v>
      </c>
      <c r="B60" s="3" t="s">
        <v>24</v>
      </c>
      <c r="C60" s="3" t="s">
        <v>53</v>
      </c>
      <c r="D60" s="68">
        <f t="array" ref="D60">SUM(IF('SAN Storage Inventory'!$C$4:$C$432="Nevada",IF('SAN Storage Inventory'!$E$4:$E$432="Tier 2",'SAN Storage Inventory'!$G$4:$G$432,0),0))</f>
        <v>0</v>
      </c>
      <c r="E60" s="68">
        <f t="array" ref="E60">SUM(IF('SAN Storage Inventory'!$C$4:$C$432="Nevada",IF('SAN Storage Inventory'!$E$4:$E$432="Tier 2",'SAN Storage Inventory'!$H$4:$H$432,0),0))</f>
        <v>0</v>
      </c>
      <c r="F60" s="2">
        <f t="array" ref="F60">SUM(IF('SAN Storage Inventory'!$C$4:$C$432="Nevada",IF('SAN Storage Inventory'!$E$4:$E$432="Tier 2",'SAN Storage Inventory'!$I$4:$I$432,0),0))</f>
        <v>0</v>
      </c>
      <c r="G60" s="2">
        <f t="array" ref="G60">SUM(IF('SAN Storage Inventory'!$C$4:$C$432="Nevada",IF('SAN Storage Inventory'!$E$4:$E$432="Tier 2",'SAN Storage Inventory'!$J$4:$J$432,0),0))</f>
        <v>0</v>
      </c>
      <c r="H60" s="2">
        <f t="array" ref="H60">SUM(IF('SAN Storage Inventory'!$C$4:$C$432="Nevada",IF('SAN Storage Inventory'!$E$4:$E$432="Tier 2",'SAN Storage Inventory'!$K$4:$K$432,0),0))</f>
        <v>0</v>
      </c>
      <c r="I60" s="2">
        <f t="array" ref="I60">SUM(IF('SAN Storage Inventory'!$C$4:$C$432="Nevada",IF('SAN Storage Inventory'!$E$4:$E$432="Tier 2",'SAN Storage Inventory'!$L$4:$L$432,0),0))</f>
        <v>0</v>
      </c>
      <c r="J60" s="79">
        <f t="array" ref="J60">SUM(IF('SAN Storage Inventory'!$C$4:$C$432="Nevada",IF('SAN Storage Inventory'!$E$4:$E$432="Tier 2",'SAN Storage Inventory'!$P$4:$P$432,0),0))</f>
        <v>0</v>
      </c>
    </row>
    <row r="61" spans="1:13">
      <c r="A61" s="32" t="s">
        <v>224</v>
      </c>
      <c r="B61" s="3" t="s">
        <v>25</v>
      </c>
      <c r="C61" s="3" t="s">
        <v>53</v>
      </c>
      <c r="D61" s="68">
        <f t="array" ref="D61">SUM(IF('SAN Storage Inventory'!$C$4:$C$432="Nevada",IF('SAN Storage Inventory'!$E$4:$E$432="Tier 4",'SAN Storage Inventory'!$G$4:$G$432,0),0))</f>
        <v>9900</v>
      </c>
      <c r="E61" s="68">
        <f t="array" ref="E61">SUM(IF('SAN Storage Inventory'!$C$4:$C$432="Nevada",IF('SAN Storage Inventory'!$E$4:$E$432="Tier 4",'SAN Storage Inventory'!$H$4:$H$432,0),0))</f>
        <v>8844</v>
      </c>
      <c r="F61" s="2">
        <f t="array" ref="F61">SUM(IF('SAN Storage Inventory'!$C$4:$C$432="Nevada",IF('SAN Storage Inventory'!$E$4:$E$432="Tier 4",'SAN Storage Inventory'!$I$4:$I$432,0),0))</f>
        <v>2005.38</v>
      </c>
      <c r="G61" s="2">
        <f t="array" ref="G61">SUM(IF('SAN Storage Inventory'!$C$4:$C$432="Nevada",IF('SAN Storage Inventory'!$E$4:$E$432="Tier 4",'SAN Storage Inventory'!$J$4:$J$432,0),0))</f>
        <v>5509</v>
      </c>
      <c r="H61" s="2">
        <f t="array" ref="H61">SUM(IF('SAN Storage Inventory'!$C$4:$C$432="Nevada",IF('SAN Storage Inventory'!$E$4:$E$432="Tier 4",'SAN Storage Inventory'!$K$4:$K$432,0),0))</f>
        <v>5509</v>
      </c>
      <c r="I61" s="2">
        <f t="array" ref="I61">SUM(IF('SAN Storage Inventory'!$C$4:$C$432="Nevada",IF('SAN Storage Inventory'!$E$4:$E$432="Tier 4",'SAN Storage Inventory'!$L$4:$L$432,0),0))</f>
        <v>0</v>
      </c>
      <c r="J61" s="79">
        <f t="array" ref="J61">SUM(IF('SAN Storage Inventory'!$C$4:$C$432="Nevada",IF('SAN Storage Inventory'!$E$4:$E$432="Tier 4",'SAN Storage Inventory'!$P$4:$P$432,0),0))</f>
        <v>1</v>
      </c>
    </row>
    <row r="62" spans="1:13">
      <c r="A62" s="32" t="s">
        <v>224</v>
      </c>
      <c r="B62" s="3" t="s">
        <v>50</v>
      </c>
      <c r="C62" s="3" t="s">
        <v>53</v>
      </c>
      <c r="D62" s="68">
        <f t="array" ref="D62">SUM(IF('SAN Storage Inventory'!$C$4:$C$432="Nevada",IF('SAN Storage Inventory'!$E$4:$E$432="Tier 5",'SAN Storage Inventory'!$G$4:$G$432,0),0))</f>
        <v>0</v>
      </c>
      <c r="E62" s="68">
        <f t="array" ref="E62">SUM(IF('SAN Storage Inventory'!$C$4:$C$432="Nevada",IF('SAN Storage Inventory'!$E$4:$E$432="Tier 5",'SAN Storage Inventory'!$H$4:$H$432,0),0))</f>
        <v>0</v>
      </c>
      <c r="F62" s="2">
        <f t="array" ref="F62">SUM(IF('SAN Storage Inventory'!$C$4:$C$432="Nevada",IF('SAN Storage Inventory'!$E$4:$E$432="Tier 5",'SAN Storage Inventory'!$I$4:$I$432,0),0))</f>
        <v>0</v>
      </c>
      <c r="G62" s="2">
        <f t="array" ref="G62">SUM(IF('SAN Storage Inventory'!$C$4:$C$432="Nevada",IF('SAN Storage Inventory'!$E$4:$E$432="Tier 5",'SAN Storage Inventory'!$J$4:$J$432,0),0))</f>
        <v>0</v>
      </c>
      <c r="H62" s="2">
        <f t="array" ref="H62">SUM(IF('SAN Storage Inventory'!$C$4:$C$432="Nevada",IF('SAN Storage Inventory'!$E$4:$E$432="Tier 5",'SAN Storage Inventory'!$K$4:$K$432,0),0))</f>
        <v>0</v>
      </c>
      <c r="I62" s="2">
        <f t="array" ref="I62">SUM(IF('SAN Storage Inventory'!$C$4:$C$432="Nevada",IF('SAN Storage Inventory'!$E$4:$E$432="Tier 5",'SAN Storage Inventory'!$L$4:$L$432,0),0))</f>
        <v>0</v>
      </c>
      <c r="J62" s="79">
        <f t="array" ref="J62">SUM(IF('SAN Storage Inventory'!$C$4:$C$432="Nevada",IF('SAN Storage Inventory'!$E$4:$E$432="Tier 5",'SAN Storage Inventory'!$P$4:$P$432,0),0))</f>
        <v>0</v>
      </c>
    </row>
    <row r="63" spans="1:13" ht="13.5" thickBot="1">
      <c r="A63" s="30" t="s">
        <v>8</v>
      </c>
      <c r="B63" s="27"/>
      <c r="C63" s="27"/>
      <c r="D63" s="28">
        <f t="shared" ref="D63:I63" si="25">SUM(D59:D62)</f>
        <v>9900</v>
      </c>
      <c r="E63" s="28">
        <f t="shared" si="25"/>
        <v>8844</v>
      </c>
      <c r="F63" s="28">
        <f t="shared" si="25"/>
        <v>2005.38</v>
      </c>
      <c r="G63" s="28">
        <f t="shared" si="25"/>
        <v>5509</v>
      </c>
      <c r="H63" s="28">
        <f t="shared" si="25"/>
        <v>5509</v>
      </c>
      <c r="I63" s="28">
        <f t="shared" si="25"/>
        <v>0</v>
      </c>
      <c r="J63" s="42">
        <f t="shared" ref="J63" si="26">SUM(J59:J62)</f>
        <v>1</v>
      </c>
    </row>
    <row r="64" spans="1:13" ht="13.5" thickTop="1">
      <c r="A64" s="60" t="s">
        <v>430</v>
      </c>
      <c r="B64" s="26" t="s">
        <v>21</v>
      </c>
      <c r="C64" s="26" t="s">
        <v>23</v>
      </c>
      <c r="D64" s="67">
        <f t="array" ref="D64">SUM(IF('SAN Storage Inventory'!$C$4:$C$432="Toronto",IF('SAN Storage Inventory'!$E$4:$E$432="Tier 1",'SAN Storage Inventory'!$G$4:$G$432,0),0))</f>
        <v>0</v>
      </c>
      <c r="E64" s="67">
        <f t="array" ref="E64">SUM(IF('SAN Storage Inventory'!$C$4:$C$432="Toronto",IF('SAN Storage Inventory'!$E$4:$E$432="Tier 1",'SAN Storage Inventory'!$H$4:$H$432,0),0))</f>
        <v>0</v>
      </c>
      <c r="F64" s="1">
        <f t="array" ref="F64">SUM(IF('SAN Storage Inventory'!$C$4:$C$432="Toronto",IF('SAN Storage Inventory'!$E$4:$E$432="Tier 1",'SAN Storage Inventory'!$I$4:$I$432,0),0))</f>
        <v>0</v>
      </c>
      <c r="G64" s="1">
        <f t="array" ref="G64">SUM(IF('SAN Storage Inventory'!$C$4:$C$432="Toronto",IF('SAN Storage Inventory'!$E$4:$E$432="Tier 1",'SAN Storage Inventory'!$J$4:$J$432,0),0))</f>
        <v>0</v>
      </c>
      <c r="H64" s="1">
        <f t="array" ref="H64">SUM(IF('SAN Storage Inventory'!$C$4:$C$432="Toronto",IF('SAN Storage Inventory'!$E$4:$E$432="Tier 1",'SAN Storage Inventory'!$K$4:$K$432,0),0))</f>
        <v>0</v>
      </c>
      <c r="I64" s="1">
        <f t="array" ref="I64">SUM(IF('SAN Storage Inventory'!$C$4:$C$432="Toronto",IF('SAN Storage Inventory'!$E$4:$E$432="Tier 1",'SAN Storage Inventory'!$L$4:$L$432,0),0))</f>
        <v>0</v>
      </c>
      <c r="J64" s="78">
        <f t="array" ref="J64">SUM(IF('SAN Storage Inventory'!$C$4:$C$432="Toronto",IF('SAN Storage Inventory'!$E$4:$E$432="Tier 1",'SAN Storage Inventory'!$P$4:$P$432,0),0))</f>
        <v>0</v>
      </c>
      <c r="M64" s="37"/>
    </row>
    <row r="65" spans="1:13">
      <c r="A65" s="32" t="s">
        <v>430</v>
      </c>
      <c r="B65" s="3" t="s">
        <v>24</v>
      </c>
      <c r="C65" s="3" t="s">
        <v>53</v>
      </c>
      <c r="D65" s="68">
        <f t="array" ref="D65">SUM(IF('SAN Storage Inventory'!$C$4:$C$432="Toronto",IF('SAN Storage Inventory'!$E$4:$E$432="Tier 2",'SAN Storage Inventory'!$G$4:$G$432,0),0))</f>
        <v>0</v>
      </c>
      <c r="E65" s="68">
        <f t="array" ref="E65">SUM(IF('SAN Storage Inventory'!$C$4:$C$432="Toronto",IF('SAN Storage Inventory'!$E$4:$E$432="Tier 2",'SAN Storage Inventory'!$H$4:$H$432,0),0))</f>
        <v>0</v>
      </c>
      <c r="F65" s="2">
        <f t="array" ref="F65">SUM(IF('SAN Storage Inventory'!$C$4:$C$432="Toronto",IF('SAN Storage Inventory'!$E$4:$E$432="Tier 2",'SAN Storage Inventory'!$I$4:$I$432,0),0))</f>
        <v>0</v>
      </c>
      <c r="G65" s="2">
        <f t="array" ref="G65">SUM(IF('SAN Storage Inventory'!$C$4:$C$432="Toronto",IF('SAN Storage Inventory'!$E$4:$E$432="Tier 2",'SAN Storage Inventory'!$J$4:$J$432,0),0))</f>
        <v>0</v>
      </c>
      <c r="H65" s="2">
        <f t="array" ref="H65">SUM(IF('SAN Storage Inventory'!$C$4:$C$432="Toronto",IF('SAN Storage Inventory'!$E$4:$E$432="Tier 2",'SAN Storage Inventory'!$K$4:$K$432,0),0))</f>
        <v>0</v>
      </c>
      <c r="I65" s="2">
        <f t="array" ref="I65">SUM(IF('SAN Storage Inventory'!$C$4:$C$432="Toronto",IF('SAN Storage Inventory'!$E$4:$E$432="Tier 2",'SAN Storage Inventory'!$L$4:$L$432,0),0))</f>
        <v>0</v>
      </c>
      <c r="J65" s="79">
        <f t="array" ref="J65">SUM(IF('SAN Storage Inventory'!$C$4:$C$432="Toronto",IF('SAN Storage Inventory'!$E$4:$E$432="Tier 2",'SAN Storage Inventory'!$P$4:$P$432,0),0))</f>
        <v>0</v>
      </c>
    </row>
    <row r="66" spans="1:13">
      <c r="A66" s="32" t="s">
        <v>430</v>
      </c>
      <c r="B66" s="3" t="s">
        <v>25</v>
      </c>
      <c r="C66" s="3" t="s">
        <v>53</v>
      </c>
      <c r="D66" s="68">
        <f t="array" ref="D66">SUM(IF('SAN Storage Inventory'!$C$4:$C$432="Toronto",IF('SAN Storage Inventory'!$E$4:$E$432="Tier 4",'SAN Storage Inventory'!$G$4:$G$432,0),0))</f>
        <v>63972</v>
      </c>
      <c r="E66" s="68">
        <f t="array" ref="E66">SUM(IF('SAN Storage Inventory'!$C$4:$C$432="Toronto",IF('SAN Storage Inventory'!$E$4:$E$432="Tier 4",'SAN Storage Inventory'!$H$4:$H$432,0),0))</f>
        <v>57488</v>
      </c>
      <c r="F66" s="2">
        <f t="array" ref="F66">SUM(IF('SAN Storage Inventory'!$C$4:$C$432="Toronto",IF('SAN Storage Inventory'!$E$4:$E$432="Tier 4",'SAN Storage Inventory'!$I$4:$I$432,0),0))</f>
        <v>4203.67</v>
      </c>
      <c r="G66" s="2">
        <f t="array" ref="G66">SUM(IF('SAN Storage Inventory'!$C$4:$C$432="Toronto",IF('SAN Storage Inventory'!$E$4:$E$432="Tier 4",'SAN Storage Inventory'!$J$4:$J$432,0),0))</f>
        <v>43930.68</v>
      </c>
      <c r="H66" s="2">
        <f t="array" ref="H66">SUM(IF('SAN Storage Inventory'!$C$4:$C$432="Toronto",IF('SAN Storage Inventory'!$E$4:$E$432="Tier 4",'SAN Storage Inventory'!$K$4:$K$432,0),0))</f>
        <v>33104.93</v>
      </c>
      <c r="I66" s="2">
        <f t="array" ref="I66">SUM(IF('SAN Storage Inventory'!$C$4:$C$432="Toronto",IF('SAN Storage Inventory'!$E$4:$E$432="Tier 4",'SAN Storage Inventory'!$L$4:$L$432,0),0))</f>
        <v>10825.75</v>
      </c>
      <c r="J66" s="79">
        <f t="array" ref="J66">SUM(IF('SAN Storage Inventory'!$C$4:$C$432="Toronto",IF('SAN Storage Inventory'!$E$4:$E$432="Tier 4",'SAN Storage Inventory'!$P$4:$P$432,0),0))</f>
        <v>2</v>
      </c>
    </row>
    <row r="67" spans="1:13">
      <c r="A67" s="32" t="s">
        <v>430</v>
      </c>
      <c r="B67" s="3" t="s">
        <v>50</v>
      </c>
      <c r="C67" s="3" t="s">
        <v>53</v>
      </c>
      <c r="D67" s="68">
        <f t="array" ref="D67">SUM(IF('SAN Storage Inventory'!$C$4:$C$432="Toronto",IF('SAN Storage Inventory'!$E$4:$E$432="Tier 5",'SAN Storage Inventory'!$G$4:$G$432,0),0))</f>
        <v>134400</v>
      </c>
      <c r="E67" s="68">
        <f t="array" ref="E67">SUM(IF('SAN Storage Inventory'!$C$4:$C$432="Toronto",IF('SAN Storage Inventory'!$E$4:$E$432="Tier 5",'SAN Storage Inventory'!$H$4:$H$432,0),0))</f>
        <v>128562</v>
      </c>
      <c r="F67" s="2">
        <f t="array" ref="F67">SUM(IF('SAN Storage Inventory'!$C$4:$C$432="Toronto",IF('SAN Storage Inventory'!$E$4:$E$432="Tier 5",'SAN Storage Inventory'!$I$4:$I$432,0),0))</f>
        <v>1315.42</v>
      </c>
      <c r="G67" s="2">
        <f t="array" ref="G67">SUM(IF('SAN Storage Inventory'!$C$4:$C$432="Toronto",IF('SAN Storage Inventory'!$E$4:$E$432="Tier 5",'SAN Storage Inventory'!$J$4:$J$432,0),0))</f>
        <v>121903.16999999998</v>
      </c>
      <c r="H67" s="2">
        <f t="array" ref="H67">SUM(IF('SAN Storage Inventory'!$C$4:$C$432="Toronto",IF('SAN Storage Inventory'!$E$4:$E$432="Tier 5",'SAN Storage Inventory'!$K$4:$K$432,0),0))</f>
        <v>105155.84</v>
      </c>
      <c r="I67" s="2">
        <f t="array" ref="I67">SUM(IF('SAN Storage Inventory'!$C$4:$C$432="Toronto",IF('SAN Storage Inventory'!$E$4:$E$432="Tier 5",'SAN Storage Inventory'!$L$4:$L$432,0),0))</f>
        <v>16747.34</v>
      </c>
      <c r="J67" s="79">
        <f t="array" ref="J67">SUM(IF('SAN Storage Inventory'!$C$4:$C$432="Toronto",IF('SAN Storage Inventory'!$E$4:$E$432="Tier 5",'SAN Storage Inventory'!$P$4:$P$432,0),0))</f>
        <v>0</v>
      </c>
    </row>
    <row r="68" spans="1:13" ht="13.5" thickBot="1">
      <c r="A68" s="30" t="s">
        <v>8</v>
      </c>
      <c r="B68" s="27"/>
      <c r="C68" s="27"/>
      <c r="D68" s="28">
        <f t="shared" ref="D68:I68" si="27">SUM(D64:D67)</f>
        <v>198372</v>
      </c>
      <c r="E68" s="28">
        <f t="shared" si="27"/>
        <v>186050</v>
      </c>
      <c r="F68" s="28">
        <f t="shared" si="27"/>
        <v>5519.09</v>
      </c>
      <c r="G68" s="28">
        <f t="shared" si="27"/>
        <v>165833.84999999998</v>
      </c>
      <c r="H68" s="28">
        <f t="shared" si="27"/>
        <v>138260.76999999999</v>
      </c>
      <c r="I68" s="28">
        <f t="shared" si="27"/>
        <v>27573.09</v>
      </c>
      <c r="J68" s="42">
        <f t="shared" ref="J68" si="28">SUM(J64:J67)</f>
        <v>2</v>
      </c>
    </row>
    <row r="69" spans="1:13" ht="13.5" thickTop="1">
      <c r="A69" s="60" t="s">
        <v>379</v>
      </c>
      <c r="B69" s="26" t="s">
        <v>21</v>
      </c>
      <c r="C69" s="26" t="s">
        <v>23</v>
      </c>
      <c r="D69" s="67">
        <f t="array" ref="D69">SUM(IF('SAN Storage Inventory'!$C$4:$C$432="Urbandale",IF('SAN Storage Inventory'!$E$4:$E$432="Tier 1",'SAN Storage Inventory'!$G$4:$G$432,0),0))</f>
        <v>0</v>
      </c>
      <c r="E69" s="67">
        <f t="array" ref="E69">SUM(IF('SAN Storage Inventory'!$C$4:$C$432="Urbandale",IF('SAN Storage Inventory'!$E$4:$E$432="Tier 1",'SAN Storage Inventory'!$H$4:$H$432,0),0))</f>
        <v>0</v>
      </c>
      <c r="F69" s="1">
        <f t="array" ref="F69">SUM(IF('SAN Storage Inventory'!$C$4:$C$432="Urbandale",IF('SAN Storage Inventory'!$E$4:$E$432="Tier 1",'SAN Storage Inventory'!$I$4:$I$432,0),0))</f>
        <v>0</v>
      </c>
      <c r="G69" s="1">
        <f t="array" ref="G69">SUM(IF('SAN Storage Inventory'!$C$4:$C$432="Urbandale",IF('SAN Storage Inventory'!$E$4:$E$432="Tier 1",'SAN Storage Inventory'!$J$4:$J$432,0),0))</f>
        <v>0</v>
      </c>
      <c r="H69" s="1">
        <f t="array" ref="H69">SUM(IF('SAN Storage Inventory'!$C$4:$C$432="Urbandale",IF('SAN Storage Inventory'!$E$4:$E$432="Tier 1",'SAN Storage Inventory'!$K$4:$K$432,0),0))</f>
        <v>0</v>
      </c>
      <c r="I69" s="1">
        <f t="array" ref="I69">SUM(IF('SAN Storage Inventory'!$C$4:$C$432="Urbandale",IF('SAN Storage Inventory'!$E$4:$E$432="Tier 1",'SAN Storage Inventory'!$L$4:$L$432,0),0))</f>
        <v>0</v>
      </c>
      <c r="J69" s="78">
        <f t="array" ref="J69">SUM(IF('SAN Storage Inventory'!$C$4:$C$432="Urbandale",IF('SAN Storage Inventory'!$E$4:$E$432="Tier 1",'SAN Storage Inventory'!$P$4:$P$432,0),0))</f>
        <v>0</v>
      </c>
      <c r="M69" s="37"/>
    </row>
    <row r="70" spans="1:13">
      <c r="A70" s="32" t="s">
        <v>379</v>
      </c>
      <c r="B70" s="3" t="s">
        <v>24</v>
      </c>
      <c r="C70" s="3" t="s">
        <v>53</v>
      </c>
      <c r="D70" s="68">
        <f t="array" ref="D70">SUM(IF('SAN Storage Inventory'!$C$4:$C$432="Urbandale",IF('SAN Storage Inventory'!$E$4:$E$432="Tier 2",'SAN Storage Inventory'!$G$4:$G$432,0),0))</f>
        <v>0</v>
      </c>
      <c r="E70" s="68">
        <f t="array" ref="E70">SUM(IF('SAN Storage Inventory'!$C$4:$C$432="Urbandale",IF('SAN Storage Inventory'!$E$4:$E$432="Tier 2",'SAN Storage Inventory'!$H$4:$H$432,0),0))</f>
        <v>0</v>
      </c>
      <c r="F70" s="2">
        <f t="array" ref="F70">SUM(IF('SAN Storage Inventory'!$C$4:$C$432="Urbandale",IF('SAN Storage Inventory'!$E$4:$E$432="Tier 2",'SAN Storage Inventory'!$I$4:$I$432,0),0))</f>
        <v>0</v>
      </c>
      <c r="G70" s="2">
        <f t="array" ref="G70">SUM(IF('SAN Storage Inventory'!$C$4:$C$432="Urbandale",IF('SAN Storage Inventory'!$E$4:$E$432="Tier 2",'SAN Storage Inventory'!$J$4:$J$432,0),0))</f>
        <v>0</v>
      </c>
      <c r="H70" s="2">
        <f t="array" ref="H70">SUM(IF('SAN Storage Inventory'!$C$4:$C$432="Urbandale",IF('SAN Storage Inventory'!$E$4:$E$432="Tier 2",'SAN Storage Inventory'!$K$4:$K$432,0),0))</f>
        <v>0</v>
      </c>
      <c r="I70" s="2">
        <f t="array" ref="I70">SUM(IF('SAN Storage Inventory'!$C$4:$C$432="Urbandale",IF('SAN Storage Inventory'!$E$4:$E$432="Tier 2",'SAN Storage Inventory'!$L$4:$L$432,0),0))</f>
        <v>0</v>
      </c>
      <c r="J70" s="79">
        <f t="array" ref="J70">SUM(IF('SAN Storage Inventory'!$C$4:$C$432="Urbandale",IF('SAN Storage Inventory'!$E$4:$E$432="Tier 2",'SAN Storage Inventory'!$P$4:$P$432,0),0))</f>
        <v>0</v>
      </c>
    </row>
    <row r="71" spans="1:13">
      <c r="A71" s="32" t="s">
        <v>379</v>
      </c>
      <c r="B71" s="3" t="s">
        <v>25</v>
      </c>
      <c r="C71" s="3" t="s">
        <v>53</v>
      </c>
      <c r="D71" s="68">
        <f t="array" ref="D71">SUM(IF('SAN Storage Inventory'!$C$4:$C$432="Urbandale",IF('SAN Storage Inventory'!$E$4:$E$432="Tier 4",'SAN Storage Inventory'!$G$4:$G$432,0),0))</f>
        <v>9430</v>
      </c>
      <c r="E71" s="68">
        <f t="array" ref="E71">SUM(IF('SAN Storage Inventory'!$C$4:$C$432="Urbandale",IF('SAN Storage Inventory'!$E$4:$E$432="Tier 4",'SAN Storage Inventory'!$H$4:$H$432,0),0))</f>
        <v>8437</v>
      </c>
      <c r="F71" s="2">
        <f t="array" ref="F71">SUM(IF('SAN Storage Inventory'!$C$4:$C$432="Urbandale",IF('SAN Storage Inventory'!$E$4:$E$432="Tier 4",'SAN Storage Inventory'!$I$4:$I$432,0),0))</f>
        <v>395.37</v>
      </c>
      <c r="G71" s="2">
        <f t="array" ref="G71">SUM(IF('SAN Storage Inventory'!$C$4:$C$432="Urbandale",IF('SAN Storage Inventory'!$E$4:$E$432="Tier 4",'SAN Storage Inventory'!$J$4:$J$432,0),0))</f>
        <v>7117.83</v>
      </c>
      <c r="H71" s="2">
        <f t="array" ref="H71">SUM(IF('SAN Storage Inventory'!$C$4:$C$432="Urbandale",IF('SAN Storage Inventory'!$E$4:$E$432="Tier 4",'SAN Storage Inventory'!$K$4:$K$432,0),0))</f>
        <v>7117.83</v>
      </c>
      <c r="I71" s="2">
        <f t="array" ref="I71">SUM(IF('SAN Storage Inventory'!$C$4:$C$432="Urbandale",IF('SAN Storage Inventory'!$E$4:$E$432="Tier 4",'SAN Storage Inventory'!$L$4:$L$432,0),0))</f>
        <v>0</v>
      </c>
      <c r="J71" s="79">
        <f t="array" ref="J71">SUM(IF('SAN Storage Inventory'!$C$4:$C$432="Urbandale",IF('SAN Storage Inventory'!$E$4:$E$432="Tier 4",'SAN Storage Inventory'!$P$4:$P$432,0),0))</f>
        <v>1</v>
      </c>
    </row>
    <row r="72" spans="1:13">
      <c r="A72" s="32" t="s">
        <v>379</v>
      </c>
      <c r="B72" s="3" t="s">
        <v>50</v>
      </c>
      <c r="C72" s="3" t="s">
        <v>53</v>
      </c>
      <c r="D72" s="68">
        <f t="array" ref="D72">SUM(IF('SAN Storage Inventory'!$C$4:$C$432="Urbandale",IF('SAN Storage Inventory'!$E$4:$E$432="Tier 5",'SAN Storage Inventory'!$G$4:$G$432,0),0))</f>
        <v>0</v>
      </c>
      <c r="E72" s="68">
        <f t="array" ref="E72">SUM(IF('SAN Storage Inventory'!$C$4:$C$432="Urbandale",IF('SAN Storage Inventory'!$E$4:$E$432="Tier 5",'SAN Storage Inventory'!$H$4:$H$432,0),0))</f>
        <v>0</v>
      </c>
      <c r="F72" s="2">
        <f t="array" ref="F72">SUM(IF('SAN Storage Inventory'!$C$4:$C$432="Urbandale",IF('SAN Storage Inventory'!$E$4:$E$432="Tier 5",'SAN Storage Inventory'!$I$4:$I$432,0),0))</f>
        <v>0</v>
      </c>
      <c r="G72" s="2">
        <f t="array" ref="G72">SUM(IF('SAN Storage Inventory'!$C$4:$C$432="Urbandale",IF('SAN Storage Inventory'!$E$4:$E$432="Tier 5",'SAN Storage Inventory'!$J$4:$J$432,0),0))</f>
        <v>0</v>
      </c>
      <c r="H72" s="2">
        <f t="array" ref="H72">SUM(IF('SAN Storage Inventory'!$C$4:$C$432="Urbandale",IF('SAN Storage Inventory'!$E$4:$E$432="Tier 5",'SAN Storage Inventory'!$K$4:$K$432,0),0))</f>
        <v>0</v>
      </c>
      <c r="I72" s="2">
        <f t="array" ref="I72">SUM(IF('SAN Storage Inventory'!$C$4:$C$432="Urbandale",IF('SAN Storage Inventory'!$E$4:$E$432="Tier 5",'SAN Storage Inventory'!$L$4:$L$432,0),0))</f>
        <v>0</v>
      </c>
      <c r="J72" s="79">
        <f t="array" ref="J72">SUM(IF('SAN Storage Inventory'!$C$4:$C$432="Urbandale",IF('SAN Storage Inventory'!$E$4:$E$432="Tier 5",'SAN Storage Inventory'!$P$4:$P$432,0),0))</f>
        <v>0</v>
      </c>
    </row>
    <row r="73" spans="1:13" ht="13.5" thickBot="1">
      <c r="A73" s="30" t="s">
        <v>8</v>
      </c>
      <c r="B73" s="27"/>
      <c r="C73" s="27"/>
      <c r="D73" s="28">
        <f t="shared" ref="D73:I73" si="29">SUM(D69:D72)</f>
        <v>9430</v>
      </c>
      <c r="E73" s="28">
        <f t="shared" si="29"/>
        <v>8437</v>
      </c>
      <c r="F73" s="28">
        <f t="shared" si="29"/>
        <v>395.37</v>
      </c>
      <c r="G73" s="28">
        <f t="shared" si="29"/>
        <v>7117.83</v>
      </c>
      <c r="H73" s="28">
        <f t="shared" si="29"/>
        <v>7117.83</v>
      </c>
      <c r="I73" s="28">
        <f t="shared" si="29"/>
        <v>0</v>
      </c>
      <c r="J73" s="42">
        <f t="shared" ref="J73" si="30">SUM(J69:J72)</f>
        <v>1</v>
      </c>
    </row>
    <row r="74" spans="1:13" ht="14.25" thickTop="1" thickBot="1">
      <c r="A74" s="63" t="s">
        <v>232</v>
      </c>
      <c r="B74" s="64"/>
      <c r="C74" s="64"/>
      <c r="D74" s="65">
        <f t="shared" ref="D74:J74" si="31">SUMIF($A$39:$A$73,"Site Total",D$39:D$73)</f>
        <v>650664</v>
      </c>
      <c r="E74" s="65">
        <f t="shared" si="31"/>
        <v>604468.97</v>
      </c>
      <c r="F74" s="65">
        <f t="shared" si="31"/>
        <v>62426.670000000006</v>
      </c>
      <c r="G74" s="65">
        <f t="shared" si="31"/>
        <v>494059.04</v>
      </c>
      <c r="H74" s="65">
        <f t="shared" si="31"/>
        <v>370784.76999999996</v>
      </c>
      <c r="I74" s="65">
        <f t="shared" si="31"/>
        <v>123274.29</v>
      </c>
      <c r="J74" s="66">
        <f t="shared" si="31"/>
        <v>15</v>
      </c>
    </row>
    <row r="75" spans="1:13" ht="14.25" thickTop="1" thickBot="1"/>
    <row r="76" spans="1:13" ht="14.25" thickTop="1" thickBot="1">
      <c r="A76" s="110" t="s">
        <v>356</v>
      </c>
      <c r="B76" s="111"/>
      <c r="C76" s="111"/>
      <c r="D76" s="112"/>
      <c r="E76" s="112"/>
      <c r="F76" s="111"/>
      <c r="G76" s="111"/>
      <c r="H76" s="111"/>
      <c r="I76" s="111"/>
      <c r="J76" s="113"/>
    </row>
    <row r="77" spans="1:13" ht="13.5" thickTop="1">
      <c r="A77" s="60" t="s">
        <v>344</v>
      </c>
      <c r="B77" s="26" t="s">
        <v>21</v>
      </c>
      <c r="C77" s="26" t="s">
        <v>23</v>
      </c>
      <c r="D77" s="67">
        <f t="array" ref="D77">SUM(IF('SAN Storage Inventory'!$C$4:$C$432="Villa Adelina",IF('SAN Storage Inventory'!$E$4:$E$432="Tier 1",'SAN Storage Inventory'!$G$4:$G$432,0),0))</f>
        <v>0</v>
      </c>
      <c r="E77" s="67">
        <f t="array" ref="E77">SUM(IF('SAN Storage Inventory'!$C$4:$C$432="Villa Adelina",IF('SAN Storage Inventory'!$E$4:$E$432="Tier 1",'SAN Storage Inventory'!$H$4:$H$432,0),0))</f>
        <v>0</v>
      </c>
      <c r="F77" s="1">
        <f t="array" ref="F77">SUM(IF('SAN Storage Inventory'!$C$4:$C$432="Villa Adelina",IF('SAN Storage Inventory'!$E$4:$E$432="Tier 1",'SAN Storage Inventory'!$I$4:$I$432,0),0))</f>
        <v>0</v>
      </c>
      <c r="G77" s="1">
        <f t="array" ref="G77">SUM(IF('SAN Storage Inventory'!$C$4:$C$432="Villa Adelina",IF('SAN Storage Inventory'!$E$4:$E$432="Tier 1",'SAN Storage Inventory'!$J$4:$J$432,0),0))</f>
        <v>0</v>
      </c>
      <c r="H77" s="1">
        <f t="array" ref="H77">SUM(IF('SAN Storage Inventory'!$C$4:$C$432="Villa Adelina",IF('SAN Storage Inventory'!$E$4:$E$432="Tier 1",'SAN Storage Inventory'!$K$4:$K$432,0),0))</f>
        <v>0</v>
      </c>
      <c r="I77" s="1">
        <f t="array" ref="I77">SUM(IF('SAN Storage Inventory'!$C$4:$C$432="Villa Adelina",IF('SAN Storage Inventory'!$E$4:$E$432="Tier 1",'SAN Storage Inventory'!$L$4:$L$432,0),0))</f>
        <v>0</v>
      </c>
      <c r="J77" s="78">
        <f t="array" ref="J77">SUM(IF('SAN Storage Inventory'!$C$4:$C$432="Villa Adelina",IF('SAN Storage Inventory'!$E$4:$E$432="Tier 1",'SAN Storage Inventory'!$P$4:$P$432,0),0))</f>
        <v>0</v>
      </c>
      <c r="M77" s="37"/>
    </row>
    <row r="78" spans="1:13">
      <c r="A78" s="32" t="s">
        <v>344</v>
      </c>
      <c r="B78" s="3" t="s">
        <v>24</v>
      </c>
      <c r="C78" s="3" t="s">
        <v>53</v>
      </c>
      <c r="D78" s="68">
        <f t="array" ref="D78">SUM(IF('SAN Storage Inventory'!$C$4:$C$432="Villa Adelina",IF('SAN Storage Inventory'!$E$4:$E$432="Tier 2",'SAN Storage Inventory'!$G$4:$G$432,0),0))</f>
        <v>0</v>
      </c>
      <c r="E78" s="68">
        <f t="array" ref="E78">SUM(IF('SAN Storage Inventory'!$C$4:$C$432="Villa Adelina",IF('SAN Storage Inventory'!$E$4:$E$432="Tier 2",'SAN Storage Inventory'!$H$4:$H$432,0),0))</f>
        <v>0</v>
      </c>
      <c r="F78" s="2">
        <f t="array" ref="F78">SUM(IF('SAN Storage Inventory'!$C$4:$C$432="Villa Adelina",IF('SAN Storage Inventory'!$E$4:$E$432="Tier 2",'SAN Storage Inventory'!$I$4:$I$432,0),0))</f>
        <v>0</v>
      </c>
      <c r="G78" s="2">
        <f t="array" ref="G78">SUM(IF('SAN Storage Inventory'!$C$4:$C$432="Villa Adelina",IF('SAN Storage Inventory'!$E$4:$E$432="Tier 2",'SAN Storage Inventory'!$J$4:$J$432,0),0))</f>
        <v>0</v>
      </c>
      <c r="H78" s="2">
        <f t="array" ref="H78">SUM(IF('SAN Storage Inventory'!$C$4:$C$432="Villa Adelina",IF('SAN Storage Inventory'!$E$4:$E$432="Tier 2",'SAN Storage Inventory'!$K$4:$K$432,0),0))</f>
        <v>0</v>
      </c>
      <c r="I78" s="2">
        <f t="array" ref="I78">SUM(IF('SAN Storage Inventory'!$C$4:$C$432="Villa Adelina",IF('SAN Storage Inventory'!$E$4:$E$432="Tier 2",'SAN Storage Inventory'!$L$4:$L$432,0),0))</f>
        <v>0</v>
      </c>
      <c r="J78" s="79">
        <f t="array" ref="J78">SUM(IF('SAN Storage Inventory'!$C$4:$C$432="Villa Adelina",IF('SAN Storage Inventory'!$E$4:$E$432="Tier 2",'SAN Storage Inventory'!$P$4:$P$432,0),0))</f>
        <v>0</v>
      </c>
    </row>
    <row r="79" spans="1:13">
      <c r="A79" s="32" t="s">
        <v>344</v>
      </c>
      <c r="B79" s="3" t="s">
        <v>25</v>
      </c>
      <c r="C79" s="3" t="s">
        <v>53</v>
      </c>
      <c r="D79" s="68">
        <f t="array" ref="D79">SUM(IF('SAN Storage Inventory'!$C$4:$C$432="Villa Adelina",IF('SAN Storage Inventory'!$E$4:$E$432="Tier 4",'SAN Storage Inventory'!$G$4:$G$432,0),0))</f>
        <v>21568</v>
      </c>
      <c r="E79" s="68">
        <f t="array" ref="E79">SUM(IF('SAN Storage Inventory'!$C$4:$C$432="Villa Adelina",IF('SAN Storage Inventory'!$E$4:$E$432="Tier 4",'SAN Storage Inventory'!$H$4:$H$432,0),0))</f>
        <v>19288</v>
      </c>
      <c r="F79" s="2">
        <f t="array" ref="F79">SUM(IF('SAN Storage Inventory'!$C$4:$C$432="Villa Adelina",IF('SAN Storage Inventory'!$E$4:$E$432="Tier 4",'SAN Storage Inventory'!$I$4:$I$432,0),0))</f>
        <v>7586.48</v>
      </c>
      <c r="G79" s="2">
        <f t="array" ref="G79">SUM(IF('SAN Storage Inventory'!$C$4:$C$432="Villa Adelina",IF('SAN Storage Inventory'!$E$4:$E$432="Tier 4",'SAN Storage Inventory'!$J$4:$J$432,0),0))</f>
        <v>10404</v>
      </c>
      <c r="H79" s="2">
        <f t="array" ref="H79">SUM(IF('SAN Storage Inventory'!$C$4:$C$432="Villa Adelina",IF('SAN Storage Inventory'!$E$4:$E$432="Tier 4",'SAN Storage Inventory'!$K$4:$K$432,0),0))</f>
        <v>10404</v>
      </c>
      <c r="I79" s="2">
        <f t="array" ref="I79">SUM(IF('SAN Storage Inventory'!$C$4:$C$432="Villa Adelina",IF('SAN Storage Inventory'!$E$4:$E$432="Tier 4",'SAN Storage Inventory'!$L$4:$L$432,0),0))</f>
        <v>0</v>
      </c>
      <c r="J79" s="79">
        <f t="array" ref="J79">SUM(IF('SAN Storage Inventory'!$C$4:$C$432="Villa Adelina",IF('SAN Storage Inventory'!$E$4:$E$432="Tier 4",'SAN Storage Inventory'!$P$4:$P$432,0),0))</f>
        <v>2</v>
      </c>
    </row>
    <row r="80" spans="1:13">
      <c r="A80" s="32" t="s">
        <v>344</v>
      </c>
      <c r="B80" s="3" t="s">
        <v>50</v>
      </c>
      <c r="C80" s="3" t="s">
        <v>53</v>
      </c>
      <c r="D80" s="68">
        <f t="array" ref="D80">SUM(IF('SAN Storage Inventory'!$C$4:$C$432="Villa Adelina",IF('SAN Storage Inventory'!$E$4:$E$432="Tier 5",'SAN Storage Inventory'!$G$4:$G$432,0),0))</f>
        <v>24730</v>
      </c>
      <c r="E80" s="68">
        <f t="array" ref="E80">SUM(IF('SAN Storage Inventory'!$C$4:$C$432="Villa Adelina",IF('SAN Storage Inventory'!$E$4:$E$432="Tier 5",'SAN Storage Inventory'!$H$4:$H$432,0),0))</f>
        <v>22673</v>
      </c>
      <c r="F80" s="2">
        <f t="array" ref="F80">SUM(IF('SAN Storage Inventory'!$C$4:$C$432="Villa Adelina",IF('SAN Storage Inventory'!$E$4:$E$432="Tier 5",'SAN Storage Inventory'!$I$4:$I$432,0),0))</f>
        <v>4436.91</v>
      </c>
      <c r="G80" s="2">
        <f t="array" ref="G80">SUM(IF('SAN Storage Inventory'!$C$4:$C$432="Villa Adelina",IF('SAN Storage Inventory'!$E$4:$E$432="Tier 5",'SAN Storage Inventory'!$J$4:$J$432,0),0))</f>
        <v>17016.669999999998</v>
      </c>
      <c r="H80" s="2">
        <f t="array" ref="H80">SUM(IF('SAN Storage Inventory'!$C$4:$C$432="Villa Adelina",IF('SAN Storage Inventory'!$E$4:$E$432="Tier 5",'SAN Storage Inventory'!$K$4:$K$432,0),0))</f>
        <v>17016.669999999998</v>
      </c>
      <c r="I80" s="2">
        <f t="array" ref="I80">SUM(IF('SAN Storage Inventory'!$C$4:$C$432="Villa Adelina",IF('SAN Storage Inventory'!$E$4:$E$432="Tier 5",'SAN Storage Inventory'!$L$4:$L$432,0),0))</f>
        <v>0</v>
      </c>
      <c r="J80" s="79">
        <f t="array" ref="J80">SUM(IF('SAN Storage Inventory'!$C$4:$C$432="Villa Adelina",IF('SAN Storage Inventory'!$E$4:$E$432="Tier 5",'SAN Storage Inventory'!$P$4:$P$432,0),0))</f>
        <v>1</v>
      </c>
    </row>
    <row r="81" spans="1:10" ht="13.5" thickBot="1">
      <c r="A81" s="30" t="s">
        <v>8</v>
      </c>
      <c r="B81" s="27"/>
      <c r="C81" s="27"/>
      <c r="D81" s="28">
        <f t="shared" ref="D81:I81" si="32">SUM(D77:D80)</f>
        <v>46298</v>
      </c>
      <c r="E81" s="28">
        <f t="shared" si="32"/>
        <v>41961</v>
      </c>
      <c r="F81" s="28">
        <f t="shared" si="32"/>
        <v>12023.39</v>
      </c>
      <c r="G81" s="28">
        <f t="shared" si="32"/>
        <v>27420.67</v>
      </c>
      <c r="H81" s="28">
        <f t="shared" si="32"/>
        <v>27420.67</v>
      </c>
      <c r="I81" s="28">
        <f t="shared" si="32"/>
        <v>0</v>
      </c>
      <c r="J81" s="42">
        <f t="shared" ref="J81" si="33">SUM(J77:J80)</f>
        <v>3</v>
      </c>
    </row>
    <row r="82" spans="1:10" ht="13.5" thickTop="1">
      <c r="A82" s="60" t="s">
        <v>350</v>
      </c>
      <c r="B82" s="26" t="s">
        <v>21</v>
      </c>
      <c r="C82" s="26" t="s">
        <v>23</v>
      </c>
      <c r="D82" s="67">
        <f t="array" ref="D82">SUM(IF('SAN Storage Inventory'!$C$4:$C$432="Sao Paulo",IF('SAN Storage Inventory'!$E$4:$E$432="Tier 1",'SAN Storage Inventory'!$G$4:$G$432,0),0))</f>
        <v>0</v>
      </c>
      <c r="E82" s="67">
        <f t="array" ref="E82">SUM(IF('SAN Storage Inventory'!$C$4:$C$432="Sao Paulo",IF('SAN Storage Inventory'!$E$4:$E$432="Tier 1",'SAN Storage Inventory'!$H$4:$H$432,0),0))</f>
        <v>0</v>
      </c>
      <c r="F82" s="1">
        <f t="array" ref="F82">SUM(IF('SAN Storage Inventory'!$C$4:$C$432="Sao Paulo",IF('SAN Storage Inventory'!$E$4:$E$432="Tier 1",'SAN Storage Inventory'!$I$4:$I$432,0),0))</f>
        <v>0</v>
      </c>
      <c r="G82" s="1">
        <f t="array" ref="G82">SUM(IF('SAN Storage Inventory'!$C$4:$C$432="Sao Paulo",IF('SAN Storage Inventory'!$E$4:$E$432="Tier 1",'SAN Storage Inventory'!$J$4:$J$432,0),0))</f>
        <v>0</v>
      </c>
      <c r="H82" s="1">
        <f t="array" ref="H82">SUM(IF('SAN Storage Inventory'!$C$4:$C$432="Sao Paulo",IF('SAN Storage Inventory'!$E$4:$E$432="Tier 1",'SAN Storage Inventory'!$K$4:$K$432,0),0))</f>
        <v>0</v>
      </c>
      <c r="I82" s="1">
        <f t="array" ref="I82">SUM(IF('SAN Storage Inventory'!$C$4:$C$432="Sao Paulo",IF('SAN Storage Inventory'!$E$4:$E$432="Tier 1",'SAN Storage Inventory'!$L$4:$L$432,0),0))</f>
        <v>0</v>
      </c>
      <c r="J82" s="78">
        <f t="array" ref="J82">SUM(IF('SAN Storage Inventory'!$C$4:$C$432="Sao Paulo",IF('SAN Storage Inventory'!$E$4:$E$432="Tier 1",'SAN Storage Inventory'!$P$4:$P$432,0),0))</f>
        <v>0</v>
      </c>
    </row>
    <row r="83" spans="1:10">
      <c r="A83" s="32" t="s">
        <v>350</v>
      </c>
      <c r="B83" s="3" t="s">
        <v>24</v>
      </c>
      <c r="C83" s="3" t="s">
        <v>53</v>
      </c>
      <c r="D83" s="68">
        <f t="array" ref="D83">SUM(IF('SAN Storage Inventory'!$C$4:$C$432="Sao Paulo",IF('SAN Storage Inventory'!$E$4:$E$432="Tier 2",'SAN Storage Inventory'!$G$4:$G$432,0),0))</f>
        <v>0</v>
      </c>
      <c r="E83" s="68">
        <f t="array" ref="E83">SUM(IF('SAN Storage Inventory'!$C$4:$C$432="Sao Paulo",IF('SAN Storage Inventory'!$E$4:$E$432="Tier 2",'SAN Storage Inventory'!$H$4:$H$432,0),0))</f>
        <v>0</v>
      </c>
      <c r="F83" s="2">
        <f t="array" ref="F83">SUM(IF('SAN Storage Inventory'!$C$4:$C$432="Sao Paulo",IF('SAN Storage Inventory'!$E$4:$E$432="Tier 2",'SAN Storage Inventory'!$I$4:$I$432,0),0))</f>
        <v>0</v>
      </c>
      <c r="G83" s="2">
        <f t="array" ref="G83">SUM(IF('SAN Storage Inventory'!$C$4:$C$432="Sao Paulo",IF('SAN Storage Inventory'!$E$4:$E$432="Tier 2",'SAN Storage Inventory'!$J$4:$J$432,0),0))</f>
        <v>0</v>
      </c>
      <c r="H83" s="2">
        <f t="array" ref="H83">SUM(IF('SAN Storage Inventory'!$C$4:$C$432="Sao Paulo",IF('SAN Storage Inventory'!$E$4:$E$432="Tier 2",'SAN Storage Inventory'!$K$4:$K$432,0),0))</f>
        <v>0</v>
      </c>
      <c r="I83" s="2">
        <f t="array" ref="I83">SUM(IF('SAN Storage Inventory'!$C$4:$C$432="Sao Paulo",IF('SAN Storage Inventory'!$E$4:$E$432="Tier 2",'SAN Storage Inventory'!$L$4:$L$432,0),0))</f>
        <v>0</v>
      </c>
      <c r="J83" s="79">
        <f t="array" ref="J83">SUM(IF('SAN Storage Inventory'!$C$4:$C$432="Sao Paulo",IF('SAN Storage Inventory'!$E$4:$E$432="Tier 2",'SAN Storage Inventory'!$P$4:$P$432,0),0))</f>
        <v>0</v>
      </c>
    </row>
    <row r="84" spans="1:10">
      <c r="A84" s="32" t="s">
        <v>350</v>
      </c>
      <c r="B84" s="3" t="s">
        <v>25</v>
      </c>
      <c r="C84" s="3" t="s">
        <v>53</v>
      </c>
      <c r="D84" s="68">
        <f t="array" ref="D84">SUM(IF('SAN Storage Inventory'!$C$4:$C$432="Sao Paulo",IF('SAN Storage Inventory'!$E$4:$E$432="Tier 4",'SAN Storage Inventory'!$G$4:$G$432,0),0))</f>
        <v>29644</v>
      </c>
      <c r="E84" s="68">
        <f t="array" ref="E84">SUM(IF('SAN Storage Inventory'!$C$4:$C$432="Sao Paulo",IF('SAN Storage Inventory'!$E$4:$E$432="Tier 4",'SAN Storage Inventory'!$H$4:$H$432,0),0))</f>
        <v>26518</v>
      </c>
      <c r="F84" s="2">
        <f t="array" ref="F84">SUM(IF('SAN Storage Inventory'!$C$4:$C$432="Sao Paulo",IF('SAN Storage Inventory'!$E$4:$E$432="Tier 4",'SAN Storage Inventory'!$I$4:$I$432,0),0))</f>
        <v>10418.77</v>
      </c>
      <c r="G84" s="2">
        <f t="array" ref="G84">SUM(IF('SAN Storage Inventory'!$C$4:$C$432="Sao Paulo",IF('SAN Storage Inventory'!$E$4:$E$432="Tier 4",'SAN Storage Inventory'!$J$4:$J$432,0),0))</f>
        <v>13866</v>
      </c>
      <c r="H84" s="2">
        <f t="array" ref="H84">SUM(IF('SAN Storage Inventory'!$C$4:$C$432="Sao Paulo",IF('SAN Storage Inventory'!$E$4:$E$432="Tier 4",'SAN Storage Inventory'!$K$4:$K$432,0),0))</f>
        <v>13866</v>
      </c>
      <c r="I84" s="2">
        <f t="array" ref="I84">SUM(IF('SAN Storage Inventory'!$C$4:$C$432="Sao Paulo",IF('SAN Storage Inventory'!$E$4:$E$432="Tier 4",'SAN Storage Inventory'!$L$4:$L$432,0),0))</f>
        <v>0</v>
      </c>
      <c r="J84" s="79">
        <f t="array" ref="J84">SUM(IF('SAN Storage Inventory'!$C$4:$C$432="Sao Paulo",IF('SAN Storage Inventory'!$E$4:$E$432="Tier 4",'SAN Storage Inventory'!$P$4:$P$432,0),0))</f>
        <v>3</v>
      </c>
    </row>
    <row r="85" spans="1:10">
      <c r="A85" s="32" t="s">
        <v>350</v>
      </c>
      <c r="B85" s="3" t="s">
        <v>50</v>
      </c>
      <c r="C85" s="3" t="s">
        <v>53</v>
      </c>
      <c r="D85" s="68">
        <f t="array" ref="D85">SUM(IF('SAN Storage Inventory'!$C$4:$C$432="Sao Paulo",IF('SAN Storage Inventory'!$E$4:$E$432="Tier 5",'SAN Storage Inventory'!$G$4:$G$432,0),0))</f>
        <v>32730</v>
      </c>
      <c r="E85" s="68">
        <f t="array" ref="E85">SUM(IF('SAN Storage Inventory'!$C$4:$C$432="Sao Paulo",IF('SAN Storage Inventory'!$E$4:$E$432="Tier 5",'SAN Storage Inventory'!$H$4:$H$432,0),0))</f>
        <v>30009</v>
      </c>
      <c r="F85" s="2">
        <f t="array" ref="F85">SUM(IF('SAN Storage Inventory'!$C$4:$C$432="Sao Paulo",IF('SAN Storage Inventory'!$E$4:$E$432="Tier 5",'SAN Storage Inventory'!$I$4:$I$432,0),0))</f>
        <v>5974.77</v>
      </c>
      <c r="G85" s="2">
        <f t="array" ref="G85">SUM(IF('SAN Storage Inventory'!$C$4:$C$432="Sao Paulo",IF('SAN Storage Inventory'!$E$4:$E$432="Tier 5",'SAN Storage Inventory'!$J$4:$J$432,0),0))</f>
        <v>21547.33</v>
      </c>
      <c r="H85" s="2">
        <f t="array" ref="H85">SUM(IF('SAN Storage Inventory'!$C$4:$C$432="Sao Paulo",IF('SAN Storage Inventory'!$E$4:$E$432="Tier 5",'SAN Storage Inventory'!$K$4:$K$432,0),0))</f>
        <v>21547.33</v>
      </c>
      <c r="I85" s="2">
        <f t="array" ref="I85">SUM(IF('SAN Storage Inventory'!$C$4:$C$432="Sao Paulo",IF('SAN Storage Inventory'!$E$4:$E$432="Tier 5",'SAN Storage Inventory'!$L$4:$L$432,0),0))</f>
        <v>0</v>
      </c>
      <c r="J85" s="79">
        <f t="array" ref="J85">SUM(IF('SAN Storage Inventory'!$C$4:$C$432="Sao Paulo",IF('SAN Storage Inventory'!$E$4:$E$432="Tier 5",'SAN Storage Inventory'!$P$4:$P$432,0),0))</f>
        <v>1</v>
      </c>
    </row>
    <row r="86" spans="1:10" ht="13.5" thickBot="1">
      <c r="A86" s="30" t="s">
        <v>8</v>
      </c>
      <c r="B86" s="27"/>
      <c r="C86" s="27"/>
      <c r="D86" s="28">
        <f t="shared" ref="D86:I86" si="34">SUM(D82:D85)</f>
        <v>62374</v>
      </c>
      <c r="E86" s="28">
        <f t="shared" si="34"/>
        <v>56527</v>
      </c>
      <c r="F86" s="28">
        <f t="shared" si="34"/>
        <v>16393.54</v>
      </c>
      <c r="G86" s="28">
        <f t="shared" si="34"/>
        <v>35413.33</v>
      </c>
      <c r="H86" s="28">
        <f t="shared" si="34"/>
        <v>35413.33</v>
      </c>
      <c r="I86" s="28">
        <f t="shared" si="34"/>
        <v>0</v>
      </c>
      <c r="J86" s="42">
        <f t="shared" ref="J86" si="35">SUM(J82:J85)</f>
        <v>4</v>
      </c>
    </row>
    <row r="87" spans="1:10" ht="13.5" thickTop="1">
      <c r="A87" s="60" t="s">
        <v>448</v>
      </c>
      <c r="B87" s="26" t="s">
        <v>21</v>
      </c>
      <c r="C87" s="26" t="s">
        <v>23</v>
      </c>
      <c r="D87" s="67">
        <f t="array" ref="D87">SUM(IF('SAN Storage Inventory'!$C$4:$C$432="Oaks Field",IF('SAN Storage Inventory'!$E$4:$E$432="Tier 1",'SAN Storage Inventory'!$G$4:$G$432,0),0))</f>
        <v>0</v>
      </c>
      <c r="E87" s="67">
        <f t="array" ref="E87">SUM(IF('SAN Storage Inventory'!$C$4:$C$432="Oaks Field",IF('SAN Storage Inventory'!$E$4:$E$432="Tier 1",'SAN Storage Inventory'!$H$4:$H$432,0),0))</f>
        <v>0</v>
      </c>
      <c r="F87" s="1">
        <f t="array" ref="F87">SUM(IF('SAN Storage Inventory'!$C$4:$C$432="Oaks Field",IF('SAN Storage Inventory'!$E$4:$E$432="Tier 1",'SAN Storage Inventory'!$I$4:$I$432,0),0))</f>
        <v>0</v>
      </c>
      <c r="G87" s="1">
        <f t="array" ref="G87">SUM(IF('SAN Storage Inventory'!$C$4:$C$432="Oaks Field",IF('SAN Storage Inventory'!$E$4:$E$432="Tier 1",'SAN Storage Inventory'!$J$4:$J$432,0),0))</f>
        <v>0</v>
      </c>
      <c r="H87" s="1">
        <f t="array" ref="H87">SUM(IF('SAN Storage Inventory'!$C$4:$C$432="Oaks Field",IF('SAN Storage Inventory'!$E$4:$E$432="Tier 1",'SAN Storage Inventory'!$K$4:$K$432,0),0))</f>
        <v>0</v>
      </c>
      <c r="I87" s="1">
        <f t="array" ref="I87">SUM(IF('SAN Storage Inventory'!$C$4:$C$432="Oaks Field",IF('SAN Storage Inventory'!$E$4:$E$432="Tier 1",'SAN Storage Inventory'!$L$4:$L$432,0),0))</f>
        <v>0</v>
      </c>
      <c r="J87" s="78">
        <f t="array" ref="J87">SUM(IF('SAN Storage Inventory'!$C$4:$C$432="Oaks Field",IF('SAN Storage Inventory'!$E$4:$E$432="Tier 1",'SAN Storage Inventory'!$P$4:$P$432,0),0))</f>
        <v>0</v>
      </c>
    </row>
    <row r="88" spans="1:10">
      <c r="A88" s="32" t="s">
        <v>448</v>
      </c>
      <c r="B88" s="3" t="s">
        <v>24</v>
      </c>
      <c r="C88" s="3" t="s">
        <v>53</v>
      </c>
      <c r="D88" s="68">
        <f t="array" ref="D88">SUM(IF('SAN Storage Inventory'!$C$4:$C$432="Oaks Field",IF('SAN Storage Inventory'!$E$4:$E$432="Tier 2",'SAN Storage Inventory'!$G$4:$G$432,0),0))</f>
        <v>0</v>
      </c>
      <c r="E88" s="68">
        <f t="array" ref="E88">SUM(IF('SAN Storage Inventory'!$C$4:$C$432="Oaks Field",IF('SAN Storage Inventory'!$E$4:$E$432="Tier 2",'SAN Storage Inventory'!$H$4:$H$432,0),0))</f>
        <v>0</v>
      </c>
      <c r="F88" s="2">
        <f t="array" ref="F88">SUM(IF('SAN Storage Inventory'!$C$4:$C$432="Oaks Field",IF('SAN Storage Inventory'!$E$4:$E$432="Tier 2",'SAN Storage Inventory'!$I$4:$I$432,0),0))</f>
        <v>0</v>
      </c>
      <c r="G88" s="2">
        <f t="array" ref="G88">SUM(IF('SAN Storage Inventory'!$C$4:$C$432="Oaks Field",IF('SAN Storage Inventory'!$E$4:$E$432="Tier 2",'SAN Storage Inventory'!$J$4:$J$432,0),0))</f>
        <v>0</v>
      </c>
      <c r="H88" s="2">
        <f t="array" ref="H88">SUM(IF('SAN Storage Inventory'!$C$4:$C$432="Oaks Field",IF('SAN Storage Inventory'!$E$4:$E$432="Tier 2",'SAN Storage Inventory'!$K$4:$K$432,0),0))</f>
        <v>0</v>
      </c>
      <c r="I88" s="2">
        <f t="array" ref="I88">SUM(IF('SAN Storage Inventory'!$C$4:$C$432="Oaks Field",IF('SAN Storage Inventory'!$E$4:$E$432="Tier 2",'SAN Storage Inventory'!$L$4:$L$432,0),0))</f>
        <v>0</v>
      </c>
      <c r="J88" s="79">
        <f t="array" ref="J88">SUM(IF('SAN Storage Inventory'!$C$4:$C$432="Oaks Field",IF('SAN Storage Inventory'!$E$4:$E$432="Tier 2",'SAN Storage Inventory'!$P$4:$P$432,0),0))</f>
        <v>0</v>
      </c>
    </row>
    <row r="89" spans="1:10">
      <c r="A89" s="32" t="s">
        <v>448</v>
      </c>
      <c r="B89" s="3" t="s">
        <v>25</v>
      </c>
      <c r="C89" s="3" t="s">
        <v>53</v>
      </c>
      <c r="D89" s="68">
        <f t="array" ref="D89">SUM(IF('SAN Storage Inventory'!$C$4:$C$432="Oaks Field",IF('SAN Storage Inventory'!$E$4:$E$432="Tier 4",'SAN Storage Inventory'!$G$4:$G$432,0),0))</f>
        <v>9900</v>
      </c>
      <c r="E89" s="68">
        <f t="array" ref="E89">SUM(IF('SAN Storage Inventory'!$C$4:$C$432="Oaks Field",IF('SAN Storage Inventory'!$E$4:$E$432="Tier 4",'SAN Storage Inventory'!$H$4:$H$432,0),0))</f>
        <v>8844</v>
      </c>
      <c r="F89" s="2">
        <f t="array" ref="F89">SUM(IF('SAN Storage Inventory'!$C$4:$C$432="Oaks Field",IF('SAN Storage Inventory'!$E$4:$E$432="Tier 4",'SAN Storage Inventory'!$I$4:$I$432,0),0))</f>
        <v>150.35</v>
      </c>
      <c r="G89" s="2">
        <f t="array" ref="G89">SUM(IF('SAN Storage Inventory'!$C$4:$C$432="Oaks Field",IF('SAN Storage Inventory'!$E$4:$E$432="Tier 4",'SAN Storage Inventory'!$J$4:$J$432,0),0))</f>
        <v>7364</v>
      </c>
      <c r="H89" s="2">
        <f t="array" ref="H89">SUM(IF('SAN Storage Inventory'!$C$4:$C$432="Oaks Field",IF('SAN Storage Inventory'!$E$4:$E$432="Tier 4",'SAN Storage Inventory'!$K$4:$K$432,0),0))</f>
        <v>5614</v>
      </c>
      <c r="I89" s="2">
        <f t="array" ref="I89">SUM(IF('SAN Storage Inventory'!$C$4:$C$432="Oaks Field",IF('SAN Storage Inventory'!$E$4:$E$432="Tier 4",'SAN Storage Inventory'!$L$4:$L$432,0),0))</f>
        <v>1750</v>
      </c>
      <c r="J89" s="79">
        <f t="array" ref="J89">SUM(IF('SAN Storage Inventory'!$C$4:$C$432="Oaks Field",IF('SAN Storage Inventory'!$E$4:$E$432="Tier 4",'SAN Storage Inventory'!$P$4:$P$432,0),0))</f>
        <v>1</v>
      </c>
    </row>
    <row r="90" spans="1:10">
      <c r="A90" s="32" t="s">
        <v>448</v>
      </c>
      <c r="B90" s="3" t="s">
        <v>50</v>
      </c>
      <c r="C90" s="3" t="s">
        <v>53</v>
      </c>
      <c r="D90" s="68">
        <f t="array" ref="D90">SUM(IF('SAN Storage Inventory'!$C$4:$C$432="Oaks Field",IF('SAN Storage Inventory'!$E$4:$E$432="Tier 5",'SAN Storage Inventory'!$G$4:$G$432,0),0))</f>
        <v>0</v>
      </c>
      <c r="E90" s="68">
        <f t="array" ref="E90">SUM(IF('SAN Storage Inventory'!$C$4:$C$432="Oaks Field",IF('SAN Storage Inventory'!$E$4:$E$432="Tier 5",'SAN Storage Inventory'!$H$4:$H$432,0),0))</f>
        <v>0</v>
      </c>
      <c r="F90" s="2">
        <f t="array" ref="F90">SUM(IF('SAN Storage Inventory'!$C$4:$C$432="Oaks Field",IF('SAN Storage Inventory'!$E$4:$E$432="Tier 5",'SAN Storage Inventory'!$I$4:$I$432,0),0))</f>
        <v>0</v>
      </c>
      <c r="G90" s="2">
        <f t="array" ref="G90">SUM(IF('SAN Storage Inventory'!$C$4:$C$432="Oaks Field",IF('SAN Storage Inventory'!$E$4:$E$432="Tier 5",'SAN Storage Inventory'!$J$4:$J$432,0),0))</f>
        <v>0</v>
      </c>
      <c r="H90" s="2">
        <f t="array" ref="H90">SUM(IF('SAN Storage Inventory'!$C$4:$C$432="Oaks Field",IF('SAN Storage Inventory'!$E$4:$E$432="Tier 5",'SAN Storage Inventory'!$K$4:$K$432,0),0))</f>
        <v>0</v>
      </c>
      <c r="I90" s="2">
        <f t="array" ref="I90">SUM(IF('SAN Storage Inventory'!$C$4:$C$432="Oaks Field",IF('SAN Storage Inventory'!$E$4:$E$432="Tier 5",'SAN Storage Inventory'!$L$4:$L$432,0),0))</f>
        <v>0</v>
      </c>
      <c r="J90" s="79">
        <f t="array" ref="J90">SUM(IF('SAN Storage Inventory'!$C$4:$C$432="Oaks Field",IF('SAN Storage Inventory'!$E$4:$E$432="Tier 5",'SAN Storage Inventory'!$P$4:$P$432,0),0))</f>
        <v>0</v>
      </c>
    </row>
    <row r="91" spans="1:10" ht="13.5" thickBot="1">
      <c r="A91" s="30" t="s">
        <v>8</v>
      </c>
      <c r="B91" s="27"/>
      <c r="C91" s="27"/>
      <c r="D91" s="28">
        <f t="shared" ref="D91:I91" si="36">SUM(D87:D90)</f>
        <v>9900</v>
      </c>
      <c r="E91" s="28">
        <f t="shared" si="36"/>
        <v>8844</v>
      </c>
      <c r="F91" s="28">
        <f t="shared" si="36"/>
        <v>150.35</v>
      </c>
      <c r="G91" s="28">
        <f t="shared" si="36"/>
        <v>7364</v>
      </c>
      <c r="H91" s="28">
        <f t="shared" si="36"/>
        <v>5614</v>
      </c>
      <c r="I91" s="28">
        <f t="shared" si="36"/>
        <v>1750</v>
      </c>
      <c r="J91" s="42">
        <f t="shared" ref="J91" si="37">SUM(J87:J90)</f>
        <v>1</v>
      </c>
    </row>
    <row r="92" spans="1:10" ht="13.5" thickTop="1">
      <c r="A92" s="60" t="s">
        <v>348</v>
      </c>
      <c r="B92" s="26" t="s">
        <v>21</v>
      </c>
      <c r="C92" s="26" t="s">
        <v>23</v>
      </c>
      <c r="D92" s="67">
        <f t="array" ref="D92">SUM(IF('SAN Storage Inventory'!$C$4:$C$432="Bogota",IF('SAN Storage Inventory'!$E$4:$E$432="Tier 1",'SAN Storage Inventory'!$G$4:$G$432,0),0))</f>
        <v>0</v>
      </c>
      <c r="E92" s="67">
        <f t="array" ref="E92">SUM(IF('SAN Storage Inventory'!$C$4:$C$432="Bogota",IF('SAN Storage Inventory'!$E$4:$E$432="Tier 1",'SAN Storage Inventory'!$H$4:$H$432,0),0))</f>
        <v>0</v>
      </c>
      <c r="F92" s="1">
        <f t="array" ref="F92">SUM(IF('SAN Storage Inventory'!$C$4:$C$432="Bogota",IF('SAN Storage Inventory'!$E$4:$E$432="Tier 1",'SAN Storage Inventory'!$I$4:$I$432,0),0))</f>
        <v>0</v>
      </c>
      <c r="G92" s="1">
        <f t="array" ref="G92">SUM(IF('SAN Storage Inventory'!$C$4:$C$432="Bogota",IF('SAN Storage Inventory'!$E$4:$E$432="Tier 1",'SAN Storage Inventory'!$J$4:$J$432,0),0))</f>
        <v>0</v>
      </c>
      <c r="H92" s="1">
        <f t="array" ref="H92">SUM(IF('SAN Storage Inventory'!$C$4:$C$432="Bogota",IF('SAN Storage Inventory'!$E$4:$E$432="Tier 1",'SAN Storage Inventory'!$K$4:$K$432,0),0))</f>
        <v>0</v>
      </c>
      <c r="I92" s="1">
        <f t="array" ref="I92">SUM(IF('SAN Storage Inventory'!$C$4:$C$432="Bogota",IF('SAN Storage Inventory'!$E$4:$E$432="Tier 1",'SAN Storage Inventory'!$L$4:$L$432,0),0))</f>
        <v>0</v>
      </c>
      <c r="J92" s="78">
        <f t="array" ref="J92">SUM(IF('SAN Storage Inventory'!$C$4:$C$432="Bogota",IF('SAN Storage Inventory'!$E$4:$E$432="Tier 1",'SAN Storage Inventory'!$P$4:$P$432,0),0))</f>
        <v>0</v>
      </c>
    </row>
    <row r="93" spans="1:10">
      <c r="A93" s="32" t="s">
        <v>348</v>
      </c>
      <c r="B93" s="3" t="s">
        <v>24</v>
      </c>
      <c r="C93" s="3" t="s">
        <v>53</v>
      </c>
      <c r="D93" s="68">
        <f t="array" ref="D93">SUM(IF('SAN Storage Inventory'!$C$4:$C$432="Bogota",IF('SAN Storage Inventory'!$E$4:$E$432="Tier 2",'SAN Storage Inventory'!$G$4:$G$432,0),0))</f>
        <v>0</v>
      </c>
      <c r="E93" s="68">
        <f t="array" ref="E93">SUM(IF('SAN Storage Inventory'!$C$4:$C$432="Bogota",IF('SAN Storage Inventory'!$E$4:$E$432="Tier 2",'SAN Storage Inventory'!$H$4:$H$432,0),0))</f>
        <v>0</v>
      </c>
      <c r="F93" s="2">
        <f t="array" ref="F93">SUM(IF('SAN Storage Inventory'!$C$4:$C$432="Bogota",IF('SAN Storage Inventory'!$E$4:$E$432="Tier 2",'SAN Storage Inventory'!$I$4:$I$432,0),0))</f>
        <v>0</v>
      </c>
      <c r="G93" s="2">
        <f t="array" ref="G93">SUM(IF('SAN Storage Inventory'!$C$4:$C$432="Bogota",IF('SAN Storage Inventory'!$E$4:$E$432="Tier 2",'SAN Storage Inventory'!$J$4:$J$432,0),0))</f>
        <v>0</v>
      </c>
      <c r="H93" s="2">
        <f t="array" ref="H93">SUM(IF('SAN Storage Inventory'!$C$4:$C$432="Bogota",IF('SAN Storage Inventory'!$E$4:$E$432="Tier 2",'SAN Storage Inventory'!$K$4:$K$432,0),0))</f>
        <v>0</v>
      </c>
      <c r="I93" s="2">
        <f t="array" ref="I93">SUM(IF('SAN Storage Inventory'!$C$4:$C$432="Bogota",IF('SAN Storage Inventory'!$E$4:$E$432="Tier 2",'SAN Storage Inventory'!$L$4:$L$432,0),0))</f>
        <v>0</v>
      </c>
      <c r="J93" s="79">
        <f t="array" ref="J93">SUM(IF('SAN Storage Inventory'!$C$4:$C$432="Bogota",IF('SAN Storage Inventory'!$E$4:$E$432="Tier 2",'SAN Storage Inventory'!$P$4:$P$432,0),0))</f>
        <v>0</v>
      </c>
    </row>
    <row r="94" spans="1:10">
      <c r="A94" s="32" t="s">
        <v>348</v>
      </c>
      <c r="B94" s="3" t="s">
        <v>25</v>
      </c>
      <c r="C94" s="3" t="s">
        <v>53</v>
      </c>
      <c r="D94" s="68">
        <f t="array" ref="D94">SUM(IF('SAN Storage Inventory'!$C$4:$C$432="Bogota",IF('SAN Storage Inventory'!$E$4:$E$432="Tier 4",'SAN Storage Inventory'!$G$4:$G$432,0),0))</f>
        <v>11400</v>
      </c>
      <c r="E94" s="68">
        <f t="array" ref="E94">SUM(IF('SAN Storage Inventory'!$C$4:$C$432="Bogota",IF('SAN Storage Inventory'!$E$4:$E$432="Tier 4",'SAN Storage Inventory'!$H$4:$H$432,0),0))</f>
        <v>10184</v>
      </c>
      <c r="F94" s="2">
        <f t="array" ref="F94">SUM(IF('SAN Storage Inventory'!$C$4:$C$432="Bogota",IF('SAN Storage Inventory'!$E$4:$E$432="Tier 4",'SAN Storage Inventory'!$I$4:$I$432,0),0))</f>
        <v>3793.24</v>
      </c>
      <c r="G94" s="2">
        <f t="array" ref="G94">SUM(IF('SAN Storage Inventory'!$C$4:$C$432="Bogota",IF('SAN Storage Inventory'!$E$4:$E$432="Tier 4",'SAN Storage Inventory'!$J$4:$J$432,0),0))</f>
        <v>5322</v>
      </c>
      <c r="H94" s="2">
        <f t="array" ref="H94">SUM(IF('SAN Storage Inventory'!$C$4:$C$432="Bogota",IF('SAN Storage Inventory'!$E$4:$E$432="Tier 4",'SAN Storage Inventory'!$K$4:$K$432,0),0))</f>
        <v>5322</v>
      </c>
      <c r="I94" s="2">
        <f t="array" ref="I94">SUM(IF('SAN Storage Inventory'!$C$4:$C$432="Bogota",IF('SAN Storage Inventory'!$E$4:$E$432="Tier 4",'SAN Storage Inventory'!$L$4:$L$432,0),0))</f>
        <v>0</v>
      </c>
      <c r="J94" s="79">
        <f t="array" ref="J94">SUM(IF('SAN Storage Inventory'!$C$4:$C$432="Bogota",IF('SAN Storage Inventory'!$E$4:$E$432="Tier 4",'SAN Storage Inventory'!$P$4:$P$432,0),0))</f>
        <v>1</v>
      </c>
    </row>
    <row r="95" spans="1:10">
      <c r="A95" s="32" t="s">
        <v>348</v>
      </c>
      <c r="B95" s="3" t="s">
        <v>50</v>
      </c>
      <c r="C95" s="3" t="s">
        <v>53</v>
      </c>
      <c r="D95" s="68">
        <f t="array" ref="D95">SUM(IF('SAN Storage Inventory'!$C$4:$C$432="Bogota",IF('SAN Storage Inventory'!$E$4:$E$432="Tier 5",'SAN Storage Inventory'!$G$4:$G$432,0),0))</f>
        <v>34000</v>
      </c>
      <c r="E95" s="68">
        <f t="array" ref="E95">SUM(IF('SAN Storage Inventory'!$C$4:$C$432="Bogota",IF('SAN Storage Inventory'!$E$4:$E$432="Tier 5",'SAN Storage Inventory'!$H$4:$H$432,0),0))</f>
        <v>31178</v>
      </c>
      <c r="F95" s="2">
        <f t="array" ref="F95">SUM(IF('SAN Storage Inventory'!$C$4:$C$432="Bogota",IF('SAN Storage Inventory'!$E$4:$E$432="Tier 5",'SAN Storage Inventory'!$I$4:$I$432,0),0))</f>
        <v>3886.93</v>
      </c>
      <c r="G95" s="2">
        <f t="array" ref="G95">SUM(IF('SAN Storage Inventory'!$C$4:$C$432="Bogota",IF('SAN Storage Inventory'!$E$4:$E$432="Tier 5",'SAN Storage Inventory'!$J$4:$J$432,0),0))</f>
        <v>17201.169999999998</v>
      </c>
      <c r="H95" s="2">
        <f t="array" ref="H95">SUM(IF('SAN Storage Inventory'!$C$4:$C$432="Bogota",IF('SAN Storage Inventory'!$E$4:$E$432="Tier 5",'SAN Storage Inventory'!$K$4:$K$432,0),0))</f>
        <v>8600.58</v>
      </c>
      <c r="I95" s="2">
        <f t="array" ref="I95">SUM(IF('SAN Storage Inventory'!$C$4:$C$432="Bogota",IF('SAN Storage Inventory'!$E$4:$E$432="Tier 5",'SAN Storage Inventory'!$L$4:$L$432,0),0))</f>
        <v>8600.58</v>
      </c>
      <c r="J95" s="79">
        <f t="array" ref="J95">SUM(IF('SAN Storage Inventory'!$C$4:$C$432="Bogota",IF('SAN Storage Inventory'!$E$4:$E$432="Tier 5",'SAN Storage Inventory'!$P$4:$P$432,0),0))</f>
        <v>1</v>
      </c>
    </row>
    <row r="96" spans="1:10" ht="13.5" thickBot="1">
      <c r="A96" s="30" t="s">
        <v>8</v>
      </c>
      <c r="B96" s="27"/>
      <c r="C96" s="27"/>
      <c r="D96" s="28">
        <f t="shared" ref="D96:I96" si="38">SUM(D92:D95)</f>
        <v>45400</v>
      </c>
      <c r="E96" s="28">
        <f t="shared" si="38"/>
        <v>41362</v>
      </c>
      <c r="F96" s="28">
        <f t="shared" si="38"/>
        <v>7680.17</v>
      </c>
      <c r="G96" s="28">
        <f t="shared" si="38"/>
        <v>22523.17</v>
      </c>
      <c r="H96" s="28">
        <f t="shared" si="38"/>
        <v>13922.58</v>
      </c>
      <c r="I96" s="28">
        <f t="shared" si="38"/>
        <v>8600.58</v>
      </c>
      <c r="J96" s="42">
        <f t="shared" ref="J96" si="39">SUM(J92:J95)</f>
        <v>2</v>
      </c>
    </row>
    <row r="97" spans="1:18" ht="13.5" thickTop="1">
      <c r="A97" s="60" t="s">
        <v>345</v>
      </c>
      <c r="B97" s="26" t="s">
        <v>21</v>
      </c>
      <c r="C97" s="26" t="s">
        <v>23</v>
      </c>
      <c r="D97" s="67">
        <f t="array" ref="D97">SUM(IF('SAN Storage Inventory'!$C$4:$C$432="Jardines",IF('SAN Storage Inventory'!$E$4:$E$432="Tier 1",'SAN Storage Inventory'!$G$4:$G$432,0),0))</f>
        <v>15975.7</v>
      </c>
      <c r="E97" s="67">
        <f t="array" ref="E97">SUM(IF('SAN Storage Inventory'!$C$4:$C$432="Jardines",IF('SAN Storage Inventory'!$E$4:$E$432="Tier 1",'SAN Storage Inventory'!$H$4:$H$432,0),0))</f>
        <v>14961.66</v>
      </c>
      <c r="F97" s="1">
        <f t="array" ref="F97">SUM(IF('SAN Storage Inventory'!$C$4:$C$432="Jardines",IF('SAN Storage Inventory'!$E$4:$E$432="Tier 1",'SAN Storage Inventory'!$I$4:$I$432,0),0))</f>
        <v>135.35</v>
      </c>
      <c r="G97" s="1">
        <f t="array" ref="G97">SUM(IF('SAN Storage Inventory'!$C$4:$C$432="Jardines",IF('SAN Storage Inventory'!$E$4:$E$432="Tier 1",'SAN Storage Inventory'!$J$4:$J$432,0),0))</f>
        <v>14713.9</v>
      </c>
      <c r="H97" s="1">
        <f t="array" ref="H97">SUM(IF('SAN Storage Inventory'!$C$4:$C$432="Jardines",IF('SAN Storage Inventory'!$E$4:$E$432="Tier 1",'SAN Storage Inventory'!$K$4:$K$432,0),0))</f>
        <v>2850.04</v>
      </c>
      <c r="I97" s="1">
        <f t="array" ref="I97">SUM(IF('SAN Storage Inventory'!$C$4:$C$432="Jardines",IF('SAN Storage Inventory'!$E$4:$E$432="Tier 1",'SAN Storage Inventory'!$L$4:$L$432,0),0))</f>
        <v>11863.86</v>
      </c>
      <c r="J97" s="78">
        <f t="array" ref="J97">SUM(IF('SAN Storage Inventory'!$C$4:$C$432="Jardines",IF('SAN Storage Inventory'!$E$4:$E$432="Tier 1",'SAN Storage Inventory'!$P$4:$P$432,0),0))</f>
        <v>1</v>
      </c>
    </row>
    <row r="98" spans="1:18">
      <c r="A98" s="32" t="s">
        <v>345</v>
      </c>
      <c r="B98" s="3" t="s">
        <v>24</v>
      </c>
      <c r="C98" s="3" t="s">
        <v>53</v>
      </c>
      <c r="D98" s="68">
        <f t="array" ref="D98">SUM(IF('SAN Storage Inventory'!$C$4:$C$432="Jardines",IF('SAN Storage Inventory'!$E$4:$E$432="Tier 2",'SAN Storage Inventory'!$G$4:$G$432,0),0))</f>
        <v>144916.29999999999</v>
      </c>
      <c r="E98" s="68">
        <f t="array" ref="E98">SUM(IF('SAN Storage Inventory'!$C$4:$C$432="Jardines",IF('SAN Storage Inventory'!$E$4:$E$432="Tier 2",'SAN Storage Inventory'!$H$4:$H$432,0),0))</f>
        <v>135717.89000000001</v>
      </c>
      <c r="F98" s="2">
        <f t="array" ref="F98">SUM(IF('SAN Storage Inventory'!$C$4:$C$432="Jardines",IF('SAN Storage Inventory'!$E$4:$E$432="Tier 2",'SAN Storage Inventory'!$I$4:$I$432,0),0))</f>
        <v>2085.5099999999998</v>
      </c>
      <c r="G98" s="2">
        <f t="array" ref="G98">SUM(IF('SAN Storage Inventory'!$C$4:$C$432="Jardines",IF('SAN Storage Inventory'!$E$4:$E$432="Tier 2",'SAN Storage Inventory'!$J$4:$J$432,0),0))</f>
        <v>133594.91</v>
      </c>
      <c r="H98" s="2">
        <f t="array" ref="H98">SUM(IF('SAN Storage Inventory'!$C$4:$C$432="Jardines",IF('SAN Storage Inventory'!$E$4:$E$432="Tier 2",'SAN Storage Inventory'!$K$4:$K$432,0),0))</f>
        <v>47314.080000000002</v>
      </c>
      <c r="I98" s="2">
        <f t="array" ref="I98">SUM(IF('SAN Storage Inventory'!$C$4:$C$432="Jardines",IF('SAN Storage Inventory'!$E$4:$E$432="Tier 2",'SAN Storage Inventory'!$L$4:$L$432,0),0))</f>
        <v>86280.83</v>
      </c>
      <c r="J98" s="79">
        <f t="array" ref="J98">SUM(IF('SAN Storage Inventory'!$C$4:$C$432="Jardines",IF('SAN Storage Inventory'!$E$4:$E$432="Tier 2",'SAN Storage Inventory'!$P$4:$P$432,0),0))</f>
        <v>1</v>
      </c>
    </row>
    <row r="99" spans="1:18">
      <c r="A99" s="32" t="s">
        <v>345</v>
      </c>
      <c r="B99" s="3" t="s">
        <v>25</v>
      </c>
      <c r="C99" s="3" t="s">
        <v>53</v>
      </c>
      <c r="D99" s="68">
        <f t="array" ref="D99">SUM(IF('SAN Storage Inventory'!$C$4:$C$432="Jardines",IF('SAN Storage Inventory'!$E$4:$E$432="Tier 4",'SAN Storage Inventory'!$G$4:$G$432,0),0))</f>
        <v>913200</v>
      </c>
      <c r="E99" s="68">
        <f t="array" ref="E99">SUM(IF('SAN Storage Inventory'!$C$4:$C$432="Jardines",IF('SAN Storage Inventory'!$E$4:$E$432="Tier 4",'SAN Storage Inventory'!$H$4:$H$432,0),0))</f>
        <v>833849.09000000008</v>
      </c>
      <c r="F99" s="2">
        <f t="array" ref="F99">SUM(IF('SAN Storage Inventory'!$C$4:$C$432="Jardines",IF('SAN Storage Inventory'!$E$4:$E$432="Tier 4",'SAN Storage Inventory'!$I$4:$I$432,0),0))</f>
        <v>8577.8799999999992</v>
      </c>
      <c r="G99" s="2">
        <f t="array" ref="G99">SUM(IF('SAN Storage Inventory'!$C$4:$C$432="Jardines",IF('SAN Storage Inventory'!$E$4:$E$432="Tier 4",'SAN Storage Inventory'!$J$4:$J$432,0),0))</f>
        <v>813814.96</v>
      </c>
      <c r="H99" s="2">
        <f t="array" ref="H99">SUM(IF('SAN Storage Inventory'!$C$4:$C$432="Jardines",IF('SAN Storage Inventory'!$E$4:$E$432="Tier 4",'SAN Storage Inventory'!$K$4:$K$432,0),0))</f>
        <v>315130.05</v>
      </c>
      <c r="I99" s="2">
        <f t="array" ref="I99">SUM(IF('SAN Storage Inventory'!$C$4:$C$432="Jardines",IF('SAN Storage Inventory'!$E$4:$E$432="Tier 4",'SAN Storage Inventory'!$L$4:$L$432,0),0))</f>
        <v>498684.92</v>
      </c>
      <c r="J99" s="79">
        <f t="array" ref="J99">SUM(IF('SAN Storage Inventory'!$C$4:$C$432="Jardines",IF('SAN Storage Inventory'!$E$4:$E$432="Tier 4",'SAN Storage Inventory'!$P$4:$P$432,0),0))</f>
        <v>4</v>
      </c>
    </row>
    <row r="100" spans="1:18">
      <c r="A100" s="32" t="s">
        <v>345</v>
      </c>
      <c r="B100" s="3" t="s">
        <v>50</v>
      </c>
      <c r="C100" s="3" t="s">
        <v>53</v>
      </c>
      <c r="D100" s="68">
        <f t="array" ref="D100">SUM(IF('SAN Storage Inventory'!$C$4:$C$432="Jardines",IF('SAN Storage Inventory'!$E$4:$E$432="Tier 5",'SAN Storage Inventory'!$G$4:$G$432,0),0))</f>
        <v>33000</v>
      </c>
      <c r="E100" s="68">
        <f t="array" ref="E100">SUM(IF('SAN Storage Inventory'!$C$4:$C$432="Jardines",IF('SAN Storage Inventory'!$E$4:$E$432="Tier 5",'SAN Storage Inventory'!$H$4:$H$432,0),0))</f>
        <v>32160</v>
      </c>
      <c r="F100" s="2">
        <f t="array" ref="F100">SUM(IF('SAN Storage Inventory'!$C$4:$C$432="Jardines",IF('SAN Storage Inventory'!$E$4:$E$432="Tier 5",'SAN Storage Inventory'!$I$4:$I$432,0),0))</f>
        <v>6285.28</v>
      </c>
      <c r="G100" s="2">
        <f t="array" ref="G100">SUM(IF('SAN Storage Inventory'!$C$4:$C$432="Jardines",IF('SAN Storage Inventory'!$E$4:$E$432="Tier 5",'SAN Storage Inventory'!$J$4:$J$432,0),0))</f>
        <v>25796.57</v>
      </c>
      <c r="H100" s="2">
        <f t="array" ref="H100">SUM(IF('SAN Storage Inventory'!$C$4:$C$432="Jardines",IF('SAN Storage Inventory'!$E$4:$E$432="Tier 5",'SAN Storage Inventory'!$K$4:$K$432,0),0))</f>
        <v>10386.51</v>
      </c>
      <c r="I100" s="2">
        <f t="array" ref="I100">SUM(IF('SAN Storage Inventory'!$C$4:$C$432="Jardines",IF('SAN Storage Inventory'!$E$4:$E$432="Tier 5",'SAN Storage Inventory'!$L$4:$L$432,0),0))</f>
        <v>15410.06</v>
      </c>
      <c r="J100" s="79">
        <f t="array" ref="J100">SUM(IF('SAN Storage Inventory'!$C$4:$C$432="Jardines",IF('SAN Storage Inventory'!$E$4:$E$432="Tier 5",'SAN Storage Inventory'!$P$4:$P$432,0),0))</f>
        <v>1</v>
      </c>
    </row>
    <row r="101" spans="1:18" ht="13.5" thickBot="1">
      <c r="A101" s="30" t="s">
        <v>8</v>
      </c>
      <c r="B101" s="27"/>
      <c r="C101" s="27"/>
      <c r="D101" s="28">
        <f t="shared" ref="D101:I101" si="40">SUM(D97:D100)</f>
        <v>1107092</v>
      </c>
      <c r="E101" s="28">
        <f t="shared" si="40"/>
        <v>1016688.6400000001</v>
      </c>
      <c r="F101" s="28">
        <f t="shared" si="40"/>
        <v>17084.019999999997</v>
      </c>
      <c r="G101" s="28">
        <f t="shared" si="40"/>
        <v>987920.34</v>
      </c>
      <c r="H101" s="28">
        <f t="shared" si="40"/>
        <v>375680.68</v>
      </c>
      <c r="I101" s="28">
        <f t="shared" si="40"/>
        <v>612239.67000000004</v>
      </c>
      <c r="J101" s="42">
        <f t="shared" ref="J101" si="41">SUM(J97:J100)</f>
        <v>7</v>
      </c>
    </row>
    <row r="102" spans="1:18" ht="13.5" thickTop="1">
      <c r="A102" s="60" t="s">
        <v>413</v>
      </c>
      <c r="B102" s="26" t="s">
        <v>21</v>
      </c>
      <c r="C102" s="26" t="s">
        <v>23</v>
      </c>
      <c r="D102" s="67">
        <f t="array" ref="D102">SUM(IF('SAN Storage Inventory'!$C$4:$C$432="Santa Fe",IF('SAN Storage Inventory'!$E$4:$E$432="Tier 1",'SAN Storage Inventory'!$G$4:$G$432,0),0))</f>
        <v>0</v>
      </c>
      <c r="E102" s="67">
        <f t="array" ref="E102">SUM(IF('SAN Storage Inventory'!$C$4:$C$432="Santa Fe",IF('SAN Storage Inventory'!$E$4:$E$432="Tier 1",'SAN Storage Inventory'!$H$4:$H$432,0),0))</f>
        <v>0</v>
      </c>
      <c r="F102" s="1">
        <f t="array" ref="F102">SUM(IF('SAN Storage Inventory'!$C$4:$C$432="Santa Fe",IF('SAN Storage Inventory'!$E$4:$E$432="Tier 1",'SAN Storage Inventory'!$I$4:$I$432,0),0))</f>
        <v>0</v>
      </c>
      <c r="G102" s="1">
        <f t="array" ref="G102">SUM(IF('SAN Storage Inventory'!$C$4:$C$432="Santa Fe",IF('SAN Storage Inventory'!$E$4:$E$432="Tier 1",'SAN Storage Inventory'!$J$4:$J$432,0),0))</f>
        <v>0</v>
      </c>
      <c r="H102" s="1">
        <f t="array" ref="H102">SUM(IF('SAN Storage Inventory'!$C$4:$C$432="Santa Fe",IF('SAN Storage Inventory'!$E$4:$E$432="Tier 1",'SAN Storage Inventory'!$K$4:$K$432,0),0))</f>
        <v>0</v>
      </c>
      <c r="I102" s="1">
        <f t="array" ref="I102">SUM(IF('SAN Storage Inventory'!$C$4:$C$432="Santa Fe",IF('SAN Storage Inventory'!$E$4:$E$432="Tier 1",'SAN Storage Inventory'!$L$4:$L$432,0),0))</f>
        <v>0</v>
      </c>
      <c r="J102" s="78">
        <f t="array" ref="J102">SUM(IF('SAN Storage Inventory'!$C$4:$C$432="Santa Fe",IF('SAN Storage Inventory'!$E$4:$E$432="Tier 1",'SAN Storage Inventory'!$P$4:$P$432,0),0))</f>
        <v>0</v>
      </c>
    </row>
    <row r="103" spans="1:18">
      <c r="A103" s="32" t="s">
        <v>413</v>
      </c>
      <c r="B103" s="3" t="s">
        <v>24</v>
      </c>
      <c r="C103" s="3" t="s">
        <v>53</v>
      </c>
      <c r="D103" s="68">
        <f t="array" ref="D103">SUM(IF('SAN Storage Inventory'!$C$4:$C$432="Santa Fe",IF('SAN Storage Inventory'!$E$4:$E$432="Tier 2",'SAN Storage Inventory'!$G$4:$G$432,0),0))</f>
        <v>0</v>
      </c>
      <c r="E103" s="68">
        <f t="array" ref="E103">SUM(IF('SAN Storage Inventory'!$C$4:$C$432="Santa Fe",IF('SAN Storage Inventory'!$E$4:$E$432="Tier 2",'SAN Storage Inventory'!$H$4:$H$432,0),0))</f>
        <v>0</v>
      </c>
      <c r="F103" s="2">
        <f t="array" ref="F103">SUM(IF('SAN Storage Inventory'!$C$4:$C$432="Santa Fe",IF('SAN Storage Inventory'!$E$4:$E$432="Tier 2",'SAN Storage Inventory'!$I$4:$I$432,0),0))</f>
        <v>0</v>
      </c>
      <c r="G103" s="2">
        <f t="array" ref="G103">SUM(IF('SAN Storage Inventory'!$C$4:$C$432="Santa Fe",IF('SAN Storage Inventory'!$E$4:$E$432="Tier 2",'SAN Storage Inventory'!$J$4:$J$432,0),0))</f>
        <v>0</v>
      </c>
      <c r="H103" s="2">
        <f t="array" ref="H103">SUM(IF('SAN Storage Inventory'!$C$4:$C$432="Santa Fe",IF('SAN Storage Inventory'!$E$4:$E$432="Tier 2",'SAN Storage Inventory'!$K$4:$K$432,0),0))</f>
        <v>0</v>
      </c>
      <c r="I103" s="2">
        <f t="array" ref="I103">SUM(IF('SAN Storage Inventory'!$C$4:$C$432="Santa Fe",IF('SAN Storage Inventory'!$E$4:$E$432="Tier 2",'SAN Storage Inventory'!$L$4:$L$432,0),0))</f>
        <v>0</v>
      </c>
      <c r="J103" s="79">
        <f t="array" ref="J103">SUM(IF('SAN Storage Inventory'!$C$4:$C$432="Santa Fe",IF('SAN Storage Inventory'!$E$4:$E$432="Tier 2",'SAN Storage Inventory'!$P$4:$P$432,0),0))</f>
        <v>0</v>
      </c>
    </row>
    <row r="104" spans="1:18">
      <c r="A104" s="32" t="s">
        <v>413</v>
      </c>
      <c r="B104" s="3" t="s">
        <v>25</v>
      </c>
      <c r="C104" s="3" t="s">
        <v>53</v>
      </c>
      <c r="D104" s="68">
        <f t="array" ref="D104">SUM(IF('SAN Storage Inventory'!$C$4:$C$432="Santa Fe",IF('SAN Storage Inventory'!$E$4:$E$432="Tier 4",'SAN Storage Inventory'!$G$4:$G$432,0),0))</f>
        <v>10800</v>
      </c>
      <c r="E104" s="68">
        <f t="array" ref="E104">SUM(IF('SAN Storage Inventory'!$C$4:$C$432="Santa Fe",IF('SAN Storage Inventory'!$E$4:$E$432="Tier 4",'SAN Storage Inventory'!$H$4:$H$432,0),0))</f>
        <v>10058.280000000001</v>
      </c>
      <c r="F104" s="2">
        <f t="array" ref="F104">SUM(IF('SAN Storage Inventory'!$C$4:$C$432="Santa Fe",IF('SAN Storage Inventory'!$E$4:$E$432="Tier 4",'SAN Storage Inventory'!$I$4:$I$432,0),0))</f>
        <v>38.520000000000003</v>
      </c>
      <c r="G104" s="2">
        <f t="array" ref="G104">SUM(IF('SAN Storage Inventory'!$C$4:$C$432="Santa Fe",IF('SAN Storage Inventory'!$E$4:$E$432="Tier 4",'SAN Storage Inventory'!$J$4:$J$432,0),0))</f>
        <v>10009.14</v>
      </c>
      <c r="H104" s="2">
        <f t="array" ref="H104">SUM(IF('SAN Storage Inventory'!$C$4:$C$432="Santa Fe",IF('SAN Storage Inventory'!$E$4:$E$432="Tier 4",'SAN Storage Inventory'!$K$4:$K$432,0),0))</f>
        <v>102.51</v>
      </c>
      <c r="I104" s="2">
        <f t="array" ref="I104">SUM(IF('SAN Storage Inventory'!$C$4:$C$432="Santa Fe",IF('SAN Storage Inventory'!$E$4:$E$432="Tier 4",'SAN Storage Inventory'!$L$4:$L$432,0),0))</f>
        <v>9906.6299999999992</v>
      </c>
      <c r="J104" s="79">
        <f t="array" ref="J104">SUM(IF('SAN Storage Inventory'!$C$4:$C$432="Santa Fe",IF('SAN Storage Inventory'!$E$4:$E$432="Tier 4",'SAN Storage Inventory'!$P$4:$P$432,0),0))</f>
        <v>1</v>
      </c>
    </row>
    <row r="105" spans="1:18">
      <c r="A105" s="32" t="s">
        <v>413</v>
      </c>
      <c r="B105" s="3" t="s">
        <v>50</v>
      </c>
      <c r="C105" s="3" t="s">
        <v>53</v>
      </c>
      <c r="D105" s="68">
        <f t="array" ref="D105">SUM(IF('SAN Storage Inventory'!$C$4:$C$432="Santa Fe",IF('SAN Storage Inventory'!$E$4:$E$432="Tier 5",'SAN Storage Inventory'!$G$4:$G$432,0),0))</f>
        <v>10000</v>
      </c>
      <c r="E105" s="68">
        <f t="array" ref="E105">SUM(IF('SAN Storage Inventory'!$C$4:$C$432="Santa Fe",IF('SAN Storage Inventory'!$E$4:$E$432="Tier 5",'SAN Storage Inventory'!$H$4:$H$432,0),0))</f>
        <v>9313.23</v>
      </c>
      <c r="F105" s="2">
        <f t="array" ref="F105">SUM(IF('SAN Storage Inventory'!$C$4:$C$432="Santa Fe",IF('SAN Storage Inventory'!$E$4:$E$432="Tier 5",'SAN Storage Inventory'!$I$4:$I$432,0),0))</f>
        <v>58.24</v>
      </c>
      <c r="G105" s="2">
        <f t="array" ref="G105">SUM(IF('SAN Storage Inventory'!$C$4:$C$432="Santa Fe",IF('SAN Storage Inventory'!$E$4:$E$432="Tier 5",'SAN Storage Inventory'!$J$4:$J$432,0),0))</f>
        <v>9245.19</v>
      </c>
      <c r="H105" s="2">
        <f t="array" ref="H105">SUM(IF('SAN Storage Inventory'!$C$4:$C$432="Santa Fe",IF('SAN Storage Inventory'!$E$4:$E$432="Tier 5",'SAN Storage Inventory'!$K$4:$K$432,0),0))</f>
        <v>0.01</v>
      </c>
      <c r="I105" s="2">
        <f t="array" ref="I105">SUM(IF('SAN Storage Inventory'!$C$4:$C$432="Santa Fe",IF('SAN Storage Inventory'!$E$4:$E$432="Tier 5",'SAN Storage Inventory'!$L$4:$L$432,0),0))</f>
        <v>9245.18</v>
      </c>
      <c r="J105" s="79">
        <f t="array" ref="J105">SUM(IF('SAN Storage Inventory'!$C$4:$C$432="Santa Fe",IF('SAN Storage Inventory'!$E$4:$E$432="Tier 5",'SAN Storage Inventory'!$P$4:$P$432,0),0))</f>
        <v>0</v>
      </c>
    </row>
    <row r="106" spans="1:18" ht="13.5" thickBot="1">
      <c r="A106" s="30" t="s">
        <v>8</v>
      </c>
      <c r="B106" s="27"/>
      <c r="C106" s="27"/>
      <c r="D106" s="28">
        <f t="shared" ref="D106:I106" si="42">SUM(D102:D105)</f>
        <v>20800</v>
      </c>
      <c r="E106" s="28">
        <f t="shared" si="42"/>
        <v>19371.510000000002</v>
      </c>
      <c r="F106" s="28">
        <f t="shared" si="42"/>
        <v>96.76</v>
      </c>
      <c r="G106" s="28">
        <f t="shared" si="42"/>
        <v>19254.330000000002</v>
      </c>
      <c r="H106" s="28">
        <f t="shared" si="42"/>
        <v>102.52000000000001</v>
      </c>
      <c r="I106" s="28">
        <f t="shared" si="42"/>
        <v>19151.809999999998</v>
      </c>
      <c r="J106" s="42">
        <f t="shared" ref="J106" si="43">SUM(J102:J105)</f>
        <v>1</v>
      </c>
    </row>
    <row r="107" spans="1:18" ht="13.5" thickTop="1">
      <c r="A107" s="60" t="s">
        <v>346</v>
      </c>
      <c r="B107" s="26" t="s">
        <v>21</v>
      </c>
      <c r="C107" s="26" t="s">
        <v>23</v>
      </c>
      <c r="D107" s="67">
        <f t="array" ref="D107">SUM(IF('SAN Storage Inventory'!$C$4:$C$432="Monterrey",IF('SAN Storage Inventory'!$E$4:$E$432="Tier 1",'SAN Storage Inventory'!$G$4:$G$432,0),0))</f>
        <v>27219.9</v>
      </c>
      <c r="E107" s="67">
        <f t="array" ref="E107">SUM(IF('SAN Storage Inventory'!$C$4:$C$432="Monterrey",IF('SAN Storage Inventory'!$E$4:$E$432="Tier 1",'SAN Storage Inventory'!$H$4:$H$432,0),0))</f>
        <v>25492.15</v>
      </c>
      <c r="F107" s="1">
        <f t="array" ref="F107">SUM(IF('SAN Storage Inventory'!$C$4:$C$432="Monterrey",IF('SAN Storage Inventory'!$E$4:$E$432="Tier 1",'SAN Storage Inventory'!$I$4:$I$432,0),0))</f>
        <v>262.49</v>
      </c>
      <c r="G107" s="1">
        <f t="array" ref="G107">SUM(IF('SAN Storage Inventory'!$C$4:$C$432="Monterrey",IF('SAN Storage Inventory'!$E$4:$E$432="Tier 1",'SAN Storage Inventory'!$J$4:$J$432,0),0))</f>
        <v>24982.3</v>
      </c>
      <c r="H107" s="1">
        <f t="array" ref="H107">SUM(IF('SAN Storage Inventory'!$C$4:$C$432="Monterrey",IF('SAN Storage Inventory'!$E$4:$E$432="Tier 1",'SAN Storage Inventory'!$K$4:$K$432,0),0))</f>
        <v>18506.240000000002</v>
      </c>
      <c r="I107" s="1">
        <f t="array" ref="I107">SUM(IF('SAN Storage Inventory'!$C$4:$C$432="Monterrey",IF('SAN Storage Inventory'!$E$4:$E$432="Tier 1",'SAN Storage Inventory'!$L$4:$L$432,0),0))</f>
        <v>6476.06</v>
      </c>
      <c r="J107" s="78">
        <f t="array" ref="J107">SUM(IF('SAN Storage Inventory'!$C$4:$C$432="Monterrey",IF('SAN Storage Inventory'!$E$4:$E$432="Tier 1",'SAN Storage Inventory'!$P$4:$P$432,0),0))</f>
        <v>2</v>
      </c>
    </row>
    <row r="108" spans="1:18">
      <c r="A108" s="32" t="s">
        <v>346</v>
      </c>
      <c r="B108" s="3" t="s">
        <v>24</v>
      </c>
      <c r="C108" s="3" t="s">
        <v>53</v>
      </c>
      <c r="D108" s="68">
        <f t="array" ref="D108">SUM(IF('SAN Storage Inventory'!$C$4:$C$432="Monterrey",IF('SAN Storage Inventory'!$E$4:$E$432="Tier 2",'SAN Storage Inventory'!$G$4:$G$432,0),0))</f>
        <v>54540.1</v>
      </c>
      <c r="E108" s="68">
        <f t="array" ref="E108">SUM(IF('SAN Storage Inventory'!$C$4:$C$432="Monterrey",IF('SAN Storage Inventory'!$E$4:$E$432="Tier 2",'SAN Storage Inventory'!$H$4:$H$432,0),0))</f>
        <v>51078.22</v>
      </c>
      <c r="F108" s="2">
        <f t="array" ref="F108">SUM(IF('SAN Storage Inventory'!$C$4:$C$432="Monterrey",IF('SAN Storage Inventory'!$E$4:$E$432="Tier 2",'SAN Storage Inventory'!$I$4:$I$432,0),0))</f>
        <v>735.49</v>
      </c>
      <c r="G108" s="2">
        <f t="array" ref="G108">SUM(IF('SAN Storage Inventory'!$C$4:$C$432="Monterrey",IF('SAN Storage Inventory'!$E$4:$E$432="Tier 2",'SAN Storage Inventory'!$J$4:$J$432,0),0))</f>
        <v>50160.01</v>
      </c>
      <c r="H108" s="2">
        <f t="array" ref="H108">SUM(IF('SAN Storage Inventory'!$C$4:$C$432="Monterrey",IF('SAN Storage Inventory'!$E$4:$E$432="Tier 2",'SAN Storage Inventory'!$K$4:$K$432,0),0))</f>
        <v>26391.97</v>
      </c>
      <c r="I108" s="2">
        <f t="array" ref="I108">SUM(IF('SAN Storage Inventory'!$C$4:$C$432="Monterrey",IF('SAN Storage Inventory'!$E$4:$E$432="Tier 2",'SAN Storage Inventory'!$L$4:$L$432,0),0))</f>
        <v>23768.04</v>
      </c>
      <c r="J108" s="79">
        <f t="array" ref="J108">SUM(IF('SAN Storage Inventory'!$C$4:$C$432="Monterrey",IF('SAN Storage Inventory'!$E$4:$E$432="Tier 2",'SAN Storage Inventory'!$P$4:$P$432,0),0))</f>
        <v>0</v>
      </c>
    </row>
    <row r="109" spans="1:18">
      <c r="A109" s="32" t="s">
        <v>346</v>
      </c>
      <c r="B109" s="3" t="s">
        <v>25</v>
      </c>
      <c r="C109" s="3" t="s">
        <v>53</v>
      </c>
      <c r="D109" s="68">
        <f t="array" ref="D109">SUM(IF('SAN Storage Inventory'!$C$4:$C$432="Monterrey",IF('SAN Storage Inventory'!$E$4:$E$432="Tier 4",'SAN Storage Inventory'!$G$4:$G$432,0),0))</f>
        <v>391340</v>
      </c>
      <c r="E109" s="68">
        <f t="array" ref="E109">SUM(IF('SAN Storage Inventory'!$C$4:$C$432="Monterrey",IF('SAN Storage Inventory'!$E$4:$E$432="Tier 4",'SAN Storage Inventory'!$H$4:$H$432,0),0))</f>
        <v>357340.06</v>
      </c>
      <c r="F109" s="2">
        <f t="array" ref="F109">SUM(IF('SAN Storage Inventory'!$C$4:$C$432="Monterrey",IF('SAN Storage Inventory'!$E$4:$E$432="Tier 4",'SAN Storage Inventory'!$I$4:$I$432,0),0))</f>
        <v>54980.91</v>
      </c>
      <c r="G109" s="2">
        <f t="array" ref="G109">SUM(IF('SAN Storage Inventory'!$C$4:$C$432="Monterrey",IF('SAN Storage Inventory'!$E$4:$E$432="Tier 4",'SAN Storage Inventory'!$J$4:$J$432,0),0))</f>
        <v>286994.65999999997</v>
      </c>
      <c r="H109" s="2">
        <f t="array" ref="H109">SUM(IF('SAN Storage Inventory'!$C$4:$C$432="Monterrey",IF('SAN Storage Inventory'!$E$4:$E$432="Tier 4",'SAN Storage Inventory'!$K$4:$K$432,0),0))</f>
        <v>191248.00999999998</v>
      </c>
      <c r="I109" s="2">
        <f t="array" ref="I109">SUM(IF('SAN Storage Inventory'!$C$4:$C$432="Monterrey",IF('SAN Storage Inventory'!$E$4:$E$432="Tier 4",'SAN Storage Inventory'!$L$4:$L$432,0),0))</f>
        <v>95746.65</v>
      </c>
      <c r="J109" s="79">
        <f t="array" ref="J109">SUM(IF('SAN Storage Inventory'!$C$4:$C$432="Monterrey",IF('SAN Storage Inventory'!$E$4:$E$432="Tier 4",'SAN Storage Inventory'!$P$4:$P$432,0),0))</f>
        <v>11</v>
      </c>
    </row>
    <row r="110" spans="1:18" ht="13.5" thickBot="1">
      <c r="A110" s="32" t="s">
        <v>346</v>
      </c>
      <c r="B110" s="3" t="s">
        <v>50</v>
      </c>
      <c r="C110" s="3" t="s">
        <v>53</v>
      </c>
      <c r="D110" s="68">
        <f t="array" ref="D110">SUM(IF('SAN Storage Inventory'!$C$4:$C$432="Monterrey",IF('SAN Storage Inventory'!$E$4:$E$432="Tier 5",'SAN Storage Inventory'!$G$4:$G$432,0),0))</f>
        <v>173730</v>
      </c>
      <c r="E110" s="68">
        <f t="array" ref="E110">SUM(IF('SAN Storage Inventory'!$C$4:$C$432="Monterrey",IF('SAN Storage Inventory'!$E$4:$E$432="Tier 5",'SAN Storage Inventory'!$H$4:$H$432,0),0))</f>
        <v>159506.51999999999</v>
      </c>
      <c r="F110" s="2">
        <f t="array" ref="F110">SUM(IF('SAN Storage Inventory'!$C$4:$C$432="Monterrey",IF('SAN Storage Inventory'!$E$4:$E$432="Tier 5",'SAN Storage Inventory'!$I$4:$I$432,0),0))</f>
        <v>5177.5</v>
      </c>
      <c r="G110" s="2">
        <f t="array" ref="G110">SUM(IF('SAN Storage Inventory'!$C$4:$C$432="Monterrey",IF('SAN Storage Inventory'!$E$4:$E$432="Tier 5",'SAN Storage Inventory'!$J$4:$J$432,0),0))</f>
        <v>146695.85</v>
      </c>
      <c r="H110" s="2">
        <f t="array" ref="H110">SUM(IF('SAN Storage Inventory'!$C$4:$C$432="Monterrey",IF('SAN Storage Inventory'!$E$4:$E$432="Tier 5",'SAN Storage Inventory'!$K$4:$K$432,0),0))</f>
        <v>135247.5</v>
      </c>
      <c r="I110" s="2">
        <f t="array" ref="I110">SUM(IF('SAN Storage Inventory'!$C$4:$C$432="Monterrey",IF('SAN Storage Inventory'!$E$4:$E$432="Tier 5",'SAN Storage Inventory'!$L$4:$L$432,0),0))</f>
        <v>11448.36</v>
      </c>
      <c r="J110" s="79">
        <f t="array" ref="J110">SUM(IF('SAN Storage Inventory'!$C$4:$C$432="Monterrey",IF('SAN Storage Inventory'!$E$4:$E$432="Tier 5",'SAN Storage Inventory'!$P$4:$P$432,0),0))</f>
        <v>1</v>
      </c>
    </row>
    <row r="111" spans="1:18" ht="39.75" thickTop="1" thickBot="1">
      <c r="A111" s="30" t="s">
        <v>8</v>
      </c>
      <c r="B111" s="27"/>
      <c r="C111" s="27"/>
      <c r="D111" s="28">
        <f t="shared" ref="D111:I111" si="44">SUM(D107:D110)</f>
        <v>646830</v>
      </c>
      <c r="E111" s="28">
        <f t="shared" si="44"/>
        <v>593416.94999999995</v>
      </c>
      <c r="F111" s="28">
        <f t="shared" si="44"/>
        <v>61156.390000000007</v>
      </c>
      <c r="G111" s="28">
        <f t="shared" si="44"/>
        <v>508832.81999999995</v>
      </c>
      <c r="H111" s="28">
        <f t="shared" si="44"/>
        <v>371393.72</v>
      </c>
      <c r="I111" s="28">
        <f t="shared" si="44"/>
        <v>137439.10999999999</v>
      </c>
      <c r="J111" s="42">
        <f t="shared" ref="J111" si="45">SUM(J107:J110)</f>
        <v>14</v>
      </c>
      <c r="K111" s="58" t="s">
        <v>175</v>
      </c>
      <c r="L111" s="54" t="s">
        <v>60</v>
      </c>
      <c r="M111" s="54" t="s">
        <v>61</v>
      </c>
      <c r="N111" s="54" t="s">
        <v>62</v>
      </c>
      <c r="O111" s="59" t="s">
        <v>176</v>
      </c>
      <c r="P111" s="59" t="s">
        <v>63</v>
      </c>
      <c r="Q111" s="55" t="s">
        <v>64</v>
      </c>
      <c r="R111" s="55" t="s">
        <v>65</v>
      </c>
    </row>
    <row r="112" spans="1:18" ht="14.25" thickTop="1" thickBot="1">
      <c r="A112" s="114" t="s">
        <v>358</v>
      </c>
      <c r="B112" s="115"/>
      <c r="C112" s="115"/>
      <c r="D112" s="116">
        <f>SUMIF($A$77:$A$111,"Site Total",D$77:D$111)</f>
        <v>1938694</v>
      </c>
      <c r="E112" s="116">
        <f t="shared" ref="E112:J112" si="46">SUMIF($A$77:$A$111,"Site Total",E$77:E$111)</f>
        <v>1778171.1</v>
      </c>
      <c r="F112" s="116">
        <f t="shared" si="46"/>
        <v>114584.62</v>
      </c>
      <c r="G112" s="116">
        <f t="shared" si="46"/>
        <v>1608728.6600000001</v>
      </c>
      <c r="H112" s="116">
        <f t="shared" si="46"/>
        <v>829547.5</v>
      </c>
      <c r="I112" s="116">
        <f t="shared" si="46"/>
        <v>779181.17</v>
      </c>
      <c r="J112" s="117">
        <f t="shared" si="46"/>
        <v>32</v>
      </c>
      <c r="K112" s="52">
        <f>D112/1024</f>
        <v>1893.255859375</v>
      </c>
      <c r="L112" s="53">
        <f>G112/1024</f>
        <v>1571.0240820312501</v>
      </c>
      <c r="M112" s="53">
        <f>H112/1024</f>
        <v>810.10498046875</v>
      </c>
      <c r="N112" s="53">
        <f>I112/1024</f>
        <v>760.91911132812504</v>
      </c>
      <c r="O112" s="53">
        <f>K112/1024</f>
        <v>1.8488826751708984</v>
      </c>
      <c r="P112" s="53">
        <f>L112/1024</f>
        <v>1.5342032051086427</v>
      </c>
      <c r="Q112" s="53">
        <f>M112/1024</f>
        <v>0.79111814498901367</v>
      </c>
      <c r="R112" s="53">
        <f>N112/1024</f>
        <v>0.74308506965637211</v>
      </c>
    </row>
    <row r="113" spans="1:10" ht="13.5" thickTop="1">
      <c r="A113" s="33"/>
      <c r="B113" s="21"/>
      <c r="C113" s="21"/>
      <c r="D113" s="21"/>
      <c r="E113" s="21"/>
      <c r="F113" s="21"/>
      <c r="G113" s="21"/>
      <c r="H113" s="21"/>
      <c r="I113" s="21"/>
      <c r="J113" s="51"/>
    </row>
    <row r="114" spans="1:10">
      <c r="A114" s="14" t="s">
        <v>66</v>
      </c>
    </row>
    <row r="115" spans="1:10">
      <c r="A115" s="14" t="s">
        <v>67</v>
      </c>
    </row>
    <row r="116" spans="1:10">
      <c r="A116" s="14" t="s">
        <v>68</v>
      </c>
    </row>
    <row r="117" spans="1:10">
      <c r="A117" s="14" t="s">
        <v>69</v>
      </c>
    </row>
    <row r="118" spans="1:10">
      <c r="A118" s="33"/>
    </row>
    <row r="119" spans="1:10">
      <c r="A119" s="33"/>
      <c r="B119" s="12"/>
      <c r="C119" s="12"/>
      <c r="D119" s="70"/>
      <c r="E119" s="70"/>
      <c r="F119" s="12"/>
      <c r="G119" s="12"/>
      <c r="H119" s="12"/>
      <c r="I119" s="12"/>
    </row>
    <row r="120" spans="1:10">
      <c r="A120" s="34"/>
      <c r="B120" s="24"/>
      <c r="C120" s="24"/>
      <c r="D120" s="71"/>
      <c r="E120" s="71"/>
      <c r="F120" s="24"/>
      <c r="G120" s="24"/>
      <c r="H120" s="24"/>
      <c r="I120" s="24"/>
      <c r="J120" s="50"/>
    </row>
    <row r="121" spans="1:10">
      <c r="A121" s="33"/>
      <c r="B121" s="21"/>
      <c r="C121" s="21"/>
      <c r="D121" s="21"/>
      <c r="E121" s="21"/>
      <c r="F121" s="21"/>
      <c r="G121" s="21"/>
      <c r="H121" s="21"/>
      <c r="I121" s="21"/>
      <c r="J121" s="51"/>
    </row>
    <row r="122" spans="1:10">
      <c r="A122" s="35"/>
      <c r="B122" s="9"/>
      <c r="C122" s="9"/>
      <c r="D122" s="72"/>
      <c r="E122" s="72"/>
      <c r="F122" s="10"/>
      <c r="G122" s="10"/>
      <c r="H122" s="10"/>
      <c r="I122" s="10"/>
      <c r="J122" s="22"/>
    </row>
    <row r="123" spans="1:10">
      <c r="A123" s="35"/>
      <c r="B123" s="7"/>
      <c r="C123" s="7"/>
      <c r="D123" s="8"/>
      <c r="E123" s="8"/>
      <c r="F123" s="8"/>
      <c r="G123" s="8"/>
      <c r="H123" s="8"/>
      <c r="I123" s="8"/>
      <c r="J123" s="23"/>
    </row>
    <row r="124" spans="1:10">
      <c r="A124" s="7"/>
      <c r="B124" s="9"/>
      <c r="C124" s="9"/>
      <c r="D124" s="72"/>
      <c r="E124" s="72"/>
      <c r="F124" s="10"/>
      <c r="G124" s="10"/>
      <c r="H124" s="10"/>
      <c r="I124" s="10"/>
      <c r="J124" s="22"/>
    </row>
    <row r="125" spans="1:10">
      <c r="A125" s="7"/>
      <c r="B125" s="9"/>
      <c r="C125" s="9"/>
      <c r="D125" s="72"/>
      <c r="E125" s="72"/>
      <c r="F125" s="10"/>
      <c r="G125" s="10"/>
      <c r="H125" s="10"/>
      <c r="I125" s="10"/>
      <c r="J125" s="22"/>
    </row>
    <row r="126" spans="1:10">
      <c r="A126" s="7"/>
      <c r="B126" s="9"/>
      <c r="C126" s="9"/>
      <c r="D126" s="72"/>
      <c r="E126" s="72"/>
      <c r="F126" s="10"/>
      <c r="G126" s="10"/>
      <c r="H126" s="10"/>
      <c r="I126" s="10"/>
      <c r="J126" s="22"/>
    </row>
    <row r="127" spans="1:10">
      <c r="A127" s="7"/>
      <c r="B127" s="9"/>
      <c r="C127" s="9"/>
      <c r="D127" s="72"/>
      <c r="E127" s="72"/>
      <c r="F127" s="10"/>
      <c r="G127" s="10"/>
      <c r="H127" s="10"/>
      <c r="I127" s="10"/>
      <c r="J127" s="22"/>
    </row>
    <row r="128" spans="1:10">
      <c r="A128" s="7"/>
      <c r="B128" s="9"/>
      <c r="C128" s="9"/>
      <c r="D128" s="72"/>
      <c r="E128" s="72"/>
      <c r="F128" s="10"/>
      <c r="G128" s="10"/>
      <c r="H128" s="10"/>
      <c r="I128" s="10"/>
      <c r="J128" s="22"/>
    </row>
    <row r="129" spans="1:10">
      <c r="A129" s="7"/>
      <c r="B129" s="9"/>
      <c r="C129" s="9"/>
      <c r="D129" s="72"/>
      <c r="E129" s="72"/>
      <c r="F129" s="10"/>
      <c r="G129" s="10"/>
      <c r="H129" s="10"/>
      <c r="I129" s="10"/>
      <c r="J129" s="22"/>
    </row>
    <row r="130" spans="1:10">
      <c r="A130" s="7"/>
      <c r="B130" s="9"/>
      <c r="C130" s="9"/>
      <c r="D130" s="72"/>
      <c r="E130" s="72"/>
      <c r="F130" s="10"/>
      <c r="G130" s="10"/>
      <c r="H130" s="10"/>
      <c r="I130" s="10"/>
      <c r="J130" s="22"/>
    </row>
    <row r="131" spans="1:10">
      <c r="A131" s="7"/>
      <c r="B131" s="9"/>
      <c r="C131" s="9"/>
      <c r="D131" s="72"/>
      <c r="E131" s="72"/>
      <c r="F131" s="10"/>
      <c r="G131" s="10"/>
      <c r="H131" s="10"/>
      <c r="I131" s="10"/>
      <c r="J131" s="22"/>
    </row>
    <row r="132" spans="1:10">
      <c r="A132" s="6"/>
      <c r="B132" s="7"/>
      <c r="C132" s="7"/>
      <c r="D132" s="8"/>
      <c r="E132" s="8"/>
      <c r="F132" s="8"/>
      <c r="G132" s="8"/>
      <c r="H132" s="8"/>
      <c r="I132" s="8"/>
      <c r="J132" s="23"/>
    </row>
    <row r="133" spans="1:10">
      <c r="A133" s="7"/>
      <c r="B133" s="9"/>
      <c r="C133" s="9"/>
      <c r="D133" s="72"/>
      <c r="E133" s="72"/>
      <c r="F133" s="10"/>
      <c r="G133" s="10"/>
      <c r="H133" s="10"/>
      <c r="I133" s="10"/>
      <c r="J133" s="22"/>
    </row>
    <row r="134" spans="1:10">
      <c r="A134" s="6"/>
      <c r="B134" s="7"/>
      <c r="C134" s="7"/>
      <c r="D134" s="8"/>
      <c r="E134" s="8"/>
      <c r="F134" s="8"/>
      <c r="G134" s="8"/>
      <c r="H134" s="8"/>
      <c r="I134" s="8"/>
      <c r="J134" s="23"/>
    </row>
    <row r="135" spans="1:10">
      <c r="A135" s="7"/>
      <c r="B135" s="9"/>
      <c r="C135" s="9"/>
      <c r="D135" s="72"/>
      <c r="E135" s="72"/>
      <c r="F135" s="10"/>
      <c r="G135" s="10"/>
      <c r="H135" s="10"/>
      <c r="I135" s="10"/>
      <c r="J135" s="22"/>
    </row>
    <row r="136" spans="1:10">
      <c r="A136" s="7"/>
      <c r="B136" s="9"/>
      <c r="C136" s="9"/>
      <c r="D136" s="72"/>
      <c r="E136" s="72"/>
      <c r="F136" s="10"/>
      <c r="G136" s="10"/>
      <c r="H136" s="10"/>
      <c r="I136" s="10"/>
      <c r="J136" s="22"/>
    </row>
    <row r="137" spans="1:10">
      <c r="A137" s="7"/>
      <c r="B137" s="9"/>
      <c r="C137" s="9"/>
      <c r="D137" s="72"/>
      <c r="E137" s="72"/>
      <c r="F137" s="10"/>
      <c r="G137" s="10"/>
      <c r="H137" s="10"/>
      <c r="I137" s="10"/>
      <c r="J137" s="22"/>
    </row>
    <row r="138" spans="1:10">
      <c r="A138" s="6"/>
      <c r="B138" s="7"/>
      <c r="C138" s="7"/>
      <c r="D138" s="8"/>
      <c r="E138" s="8"/>
      <c r="F138" s="8"/>
      <c r="G138" s="8"/>
      <c r="H138" s="8"/>
      <c r="I138" s="8"/>
      <c r="J138" s="23"/>
    </row>
    <row r="139" spans="1:10">
      <c r="A139" s="7"/>
      <c r="B139" s="9"/>
      <c r="C139" s="9"/>
      <c r="D139" s="72"/>
      <c r="E139" s="72"/>
      <c r="F139" s="10"/>
      <c r="G139" s="10"/>
      <c r="H139" s="10"/>
      <c r="I139" s="10"/>
      <c r="J139" s="22"/>
    </row>
    <row r="140" spans="1:10">
      <c r="A140" s="6"/>
      <c r="B140" s="7"/>
      <c r="C140" s="7"/>
      <c r="D140" s="8"/>
      <c r="E140" s="8"/>
      <c r="F140" s="8"/>
      <c r="G140" s="8"/>
      <c r="H140" s="8"/>
      <c r="I140" s="8"/>
      <c r="J140" s="23"/>
    </row>
    <row r="141" spans="1:10">
      <c r="A141" s="7"/>
      <c r="B141" s="9"/>
      <c r="C141" s="9"/>
      <c r="D141" s="72"/>
      <c r="E141" s="72"/>
      <c r="F141" s="10"/>
      <c r="G141" s="10"/>
      <c r="H141" s="10"/>
      <c r="I141" s="10"/>
      <c r="J141" s="22"/>
    </row>
    <row r="142" spans="1:10">
      <c r="A142" s="6"/>
      <c r="B142" s="7"/>
      <c r="C142" s="7"/>
      <c r="D142" s="8"/>
      <c r="E142" s="8"/>
      <c r="F142" s="8"/>
      <c r="G142" s="8"/>
      <c r="H142" s="8"/>
      <c r="I142" s="8"/>
      <c r="J142" s="23"/>
    </row>
    <row r="143" spans="1:10">
      <c r="A143" s="7"/>
      <c r="B143" s="9"/>
      <c r="C143" s="9"/>
      <c r="D143" s="72"/>
      <c r="E143" s="72"/>
      <c r="F143" s="10"/>
      <c r="G143" s="10"/>
      <c r="H143" s="10"/>
      <c r="I143" s="10"/>
      <c r="J143" s="22"/>
    </row>
    <row r="144" spans="1:10">
      <c r="A144" s="7"/>
      <c r="B144" s="9"/>
      <c r="C144" s="9"/>
      <c r="D144" s="72"/>
      <c r="E144" s="72"/>
      <c r="F144" s="10"/>
      <c r="G144" s="10"/>
      <c r="H144" s="10"/>
      <c r="I144" s="10"/>
      <c r="J144" s="22"/>
    </row>
    <row r="145" spans="1:10">
      <c r="A145" s="7"/>
      <c r="B145" s="9"/>
      <c r="C145" s="9"/>
      <c r="D145" s="72"/>
      <c r="E145" s="72"/>
      <c r="F145" s="10"/>
      <c r="G145" s="10"/>
      <c r="H145" s="10"/>
      <c r="I145" s="10"/>
      <c r="J145" s="22"/>
    </row>
    <row r="146" spans="1:10">
      <c r="A146" s="7"/>
      <c r="B146" s="9"/>
      <c r="C146" s="9"/>
      <c r="D146" s="72"/>
      <c r="E146" s="72"/>
      <c r="F146" s="10"/>
      <c r="G146" s="10"/>
      <c r="H146" s="10"/>
      <c r="I146" s="10"/>
      <c r="J146" s="22"/>
    </row>
    <row r="147" spans="1:10">
      <c r="A147" s="6"/>
      <c r="B147" s="7"/>
      <c r="C147" s="7"/>
      <c r="D147" s="8"/>
      <c r="E147" s="8"/>
      <c r="F147" s="8"/>
      <c r="G147" s="8"/>
      <c r="H147" s="8"/>
      <c r="I147" s="8"/>
      <c r="J147" s="23"/>
    </row>
    <row r="148" spans="1:10">
      <c r="A148" s="7"/>
      <c r="B148" s="9"/>
      <c r="C148" s="9"/>
      <c r="D148" s="72"/>
      <c r="E148" s="72"/>
      <c r="F148" s="10"/>
      <c r="G148" s="10"/>
      <c r="H148" s="10"/>
      <c r="I148" s="10"/>
      <c r="J148" s="22"/>
    </row>
    <row r="149" spans="1:10">
      <c r="A149" s="7"/>
      <c r="B149" s="9"/>
      <c r="C149" s="9"/>
      <c r="D149" s="72"/>
      <c r="E149" s="72"/>
      <c r="F149" s="10"/>
      <c r="G149" s="10"/>
      <c r="H149" s="10"/>
      <c r="I149" s="10"/>
      <c r="J149" s="22"/>
    </row>
    <row r="150" spans="1:10">
      <c r="A150" s="6"/>
      <c r="B150" s="7"/>
      <c r="C150" s="7"/>
      <c r="D150" s="8"/>
      <c r="E150" s="8"/>
      <c r="F150" s="8"/>
      <c r="G150" s="8"/>
      <c r="H150" s="8"/>
      <c r="I150" s="8"/>
      <c r="J150" s="23"/>
    </row>
    <row r="151" spans="1:10">
      <c r="A151" s="7"/>
      <c r="B151" s="9"/>
      <c r="C151" s="9"/>
      <c r="D151" s="72"/>
      <c r="E151" s="72"/>
      <c r="F151" s="10"/>
      <c r="G151" s="10"/>
      <c r="H151" s="10"/>
      <c r="I151" s="10"/>
      <c r="J151" s="22"/>
    </row>
    <row r="152" spans="1:10">
      <c r="A152" s="7"/>
      <c r="B152" s="9"/>
      <c r="C152" s="9"/>
      <c r="D152" s="72"/>
      <c r="E152" s="72"/>
      <c r="F152" s="10"/>
      <c r="G152" s="10"/>
      <c r="H152" s="10"/>
      <c r="I152" s="10"/>
      <c r="J152" s="22"/>
    </row>
    <row r="153" spans="1:10">
      <c r="A153" s="6"/>
      <c r="B153" s="7"/>
      <c r="C153" s="7"/>
      <c r="D153" s="8"/>
      <c r="E153" s="8"/>
      <c r="F153" s="8"/>
      <c r="G153" s="8"/>
      <c r="H153" s="8"/>
      <c r="I153" s="8"/>
      <c r="J153" s="23"/>
    </row>
    <row r="154" spans="1:10">
      <c r="A154" s="7"/>
      <c r="B154" s="9"/>
      <c r="C154" s="9"/>
      <c r="D154" s="72"/>
      <c r="E154" s="72"/>
      <c r="F154" s="10"/>
      <c r="G154" s="10"/>
      <c r="H154" s="10"/>
      <c r="I154" s="10"/>
      <c r="J154" s="22"/>
    </row>
    <row r="155" spans="1:10">
      <c r="A155" s="6"/>
      <c r="B155" s="7"/>
      <c r="C155" s="7"/>
      <c r="D155" s="8"/>
      <c r="E155" s="8"/>
      <c r="F155" s="8"/>
      <c r="G155" s="8"/>
      <c r="H155" s="8"/>
      <c r="I155" s="8"/>
      <c r="J155" s="23"/>
    </row>
    <row r="156" spans="1:10">
      <c r="A156" s="7"/>
      <c r="B156" s="9"/>
      <c r="C156" s="9"/>
      <c r="D156" s="72"/>
      <c r="E156" s="72"/>
      <c r="F156" s="10"/>
      <c r="G156" s="10"/>
      <c r="H156" s="10"/>
      <c r="I156" s="10"/>
      <c r="J156" s="22"/>
    </row>
    <row r="157" spans="1:10">
      <c r="A157" s="6"/>
      <c r="B157" s="7"/>
      <c r="C157" s="7"/>
      <c r="D157" s="8"/>
      <c r="E157" s="8"/>
      <c r="F157" s="8"/>
      <c r="G157" s="8"/>
      <c r="H157" s="8"/>
      <c r="I157" s="8"/>
      <c r="J157" s="23"/>
    </row>
    <row r="158" spans="1:10">
      <c r="A158" s="6"/>
      <c r="B158" s="7"/>
      <c r="C158" s="7"/>
      <c r="D158" s="8"/>
      <c r="E158" s="8"/>
      <c r="F158" s="8"/>
      <c r="G158" s="8"/>
      <c r="H158" s="8"/>
      <c r="I158" s="8"/>
      <c r="J158" s="23"/>
    </row>
    <row r="159" spans="1:10">
      <c r="A159" s="7"/>
      <c r="B159" s="9"/>
      <c r="C159" s="9"/>
      <c r="D159" s="73"/>
      <c r="E159" s="73"/>
      <c r="F159" s="9"/>
      <c r="G159" s="9"/>
      <c r="H159" s="9"/>
      <c r="I159" s="9"/>
      <c r="J159" s="22"/>
    </row>
    <row r="176" spans="1:10">
      <c r="A176" s="7"/>
      <c r="B176" s="9"/>
      <c r="C176" s="9"/>
      <c r="D176" s="73"/>
      <c r="E176" s="73"/>
      <c r="F176" s="9"/>
      <c r="G176" s="9"/>
      <c r="H176" s="9"/>
      <c r="I176" s="9"/>
      <c r="J176" s="22"/>
    </row>
    <row r="177" spans="1:10">
      <c r="A177" s="6"/>
      <c r="B177" s="7"/>
      <c r="C177" s="7"/>
      <c r="D177" s="8"/>
      <c r="E177" s="8"/>
      <c r="F177" s="8"/>
      <c r="G177" s="8"/>
      <c r="H177" s="8"/>
      <c r="I177" s="8"/>
      <c r="J177" s="22"/>
    </row>
    <row r="178" spans="1:10">
      <c r="A178" s="6"/>
      <c r="B178" s="7"/>
      <c r="C178" s="7"/>
      <c r="D178" s="8"/>
      <c r="E178" s="8"/>
      <c r="F178" s="8"/>
      <c r="G178" s="8"/>
      <c r="H178" s="8"/>
      <c r="I178" s="8"/>
      <c r="J178" s="22"/>
    </row>
    <row r="179" spans="1:10">
      <c r="A179" s="6"/>
      <c r="B179" s="7"/>
      <c r="C179" s="7"/>
      <c r="D179" s="8"/>
      <c r="E179" s="8"/>
      <c r="F179" s="8"/>
      <c r="G179" s="8"/>
      <c r="H179" s="8"/>
      <c r="I179" s="8"/>
    </row>
    <row r="224" spans="1:1">
      <c r="A224" s="15"/>
    </row>
    <row r="247" spans="1:10">
      <c r="A247" s="6"/>
      <c r="B247" s="7"/>
      <c r="C247" s="7"/>
      <c r="D247" s="8"/>
      <c r="E247" s="8"/>
      <c r="F247" s="8"/>
      <c r="G247" s="8"/>
      <c r="H247" s="8"/>
      <c r="I247" s="8"/>
      <c r="J247" s="22"/>
    </row>
    <row r="248" spans="1:10">
      <c r="A248" s="6"/>
      <c r="B248" s="7"/>
      <c r="C248" s="7"/>
      <c r="D248" s="8"/>
      <c r="E248" s="8"/>
      <c r="F248" s="8"/>
      <c r="G248" s="8"/>
      <c r="H248" s="8"/>
      <c r="I248" s="8"/>
    </row>
    <row r="309" spans="1:10">
      <c r="A309" s="6"/>
      <c r="B309" s="7"/>
      <c r="C309" s="7"/>
      <c r="D309" s="8"/>
      <c r="E309" s="8"/>
      <c r="F309" s="8"/>
      <c r="G309" s="8"/>
      <c r="H309" s="8"/>
      <c r="I309" s="8"/>
      <c r="J309" s="22"/>
    </row>
    <row r="310" spans="1:10">
      <c r="A310" s="6"/>
      <c r="B310" s="7"/>
      <c r="C310" s="7"/>
      <c r="D310" s="8"/>
      <c r="E310" s="8"/>
      <c r="F310" s="8"/>
      <c r="G310" s="8"/>
      <c r="H310" s="8"/>
      <c r="I310" s="8"/>
    </row>
    <row r="337" spans="1:10">
      <c r="A337" s="6"/>
      <c r="B337" s="7"/>
      <c r="C337" s="7"/>
      <c r="D337" s="8"/>
      <c r="E337" s="8"/>
      <c r="F337" s="8"/>
      <c r="G337" s="8"/>
      <c r="H337" s="8"/>
      <c r="I337" s="8"/>
      <c r="J337" s="22"/>
    </row>
    <row r="376" spans="1:1">
      <c r="A376" s="36"/>
    </row>
    <row r="381" spans="1:1">
      <c r="A381" s="36"/>
    </row>
    <row r="394" spans="1:10">
      <c r="A394" s="6"/>
      <c r="B394" s="7"/>
      <c r="C394" s="7"/>
      <c r="D394" s="8"/>
      <c r="E394" s="8"/>
      <c r="F394" s="8"/>
      <c r="G394" s="8"/>
      <c r="H394" s="8"/>
      <c r="I394" s="8"/>
      <c r="J394" s="22"/>
    </row>
    <row r="395" spans="1:10">
      <c r="A395" s="6"/>
      <c r="B395" s="7"/>
      <c r="C395" s="7"/>
      <c r="D395" s="8"/>
      <c r="E395" s="8"/>
      <c r="F395" s="8"/>
      <c r="G395" s="8"/>
      <c r="H395" s="8"/>
      <c r="I395" s="8"/>
    </row>
  </sheetData>
  <mergeCells count="2">
    <mergeCell ref="A1:J1"/>
    <mergeCell ref="A2:J2"/>
  </mergeCells>
  <phoneticPr fontId="0" type="noConversion"/>
  <printOptions horizontalCentered="1"/>
  <pageMargins left="0.5" right="0.5" top="0.75" bottom="0.75" header="0.5" footer="0.5"/>
  <pageSetup scale="80" orientation="portrait" r:id="rId1"/>
  <headerFooter alignWithMargins="0">
    <oddHeader>&amp;L&amp;G</oddHeader>
    <oddFooter>&amp;R &amp;G 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zoomScaleNormal="100" workbookViewId="0">
      <pane ySplit="1" topLeftCell="A35" activePane="bottomLeft" state="frozen"/>
      <selection pane="bottomLeft" activeCell="O9" sqref="O9"/>
    </sheetView>
  </sheetViews>
  <sheetFormatPr defaultRowHeight="12.75"/>
  <cols>
    <col min="2" max="2" width="28.42578125" style="20" customWidth="1"/>
    <col min="3" max="3" width="11.28515625" customWidth="1"/>
    <col min="4" max="4" width="12.140625" customWidth="1"/>
    <col min="5" max="5" width="17" customWidth="1"/>
    <col min="11" max="11" width="34.5703125" style="48" customWidth="1"/>
    <col min="12" max="12" width="9.85546875" style="128" customWidth="1"/>
    <col min="13" max="13" width="5" style="128" customWidth="1"/>
  </cols>
  <sheetData>
    <row r="1" spans="2:13" ht="23.25" customHeight="1" thickTop="1" thickBot="1">
      <c r="B1" s="168" t="s">
        <v>1161</v>
      </c>
      <c r="C1" s="169"/>
      <c r="D1" s="169"/>
      <c r="E1" s="169"/>
      <c r="F1" s="169"/>
      <c r="G1" s="169"/>
      <c r="H1" s="169"/>
      <c r="I1" s="169"/>
      <c r="J1" s="169"/>
      <c r="K1" s="181"/>
      <c r="L1" s="155"/>
    </row>
    <row r="2" spans="2:13" ht="21" customHeight="1" thickTop="1" thickBot="1">
      <c r="B2" s="179" t="s">
        <v>1148</v>
      </c>
      <c r="C2" s="180"/>
      <c r="D2" s="180"/>
      <c r="E2" s="180"/>
      <c r="F2" s="180"/>
      <c r="G2" s="180"/>
      <c r="H2" s="180"/>
      <c r="I2" s="180"/>
      <c r="J2" s="180"/>
      <c r="K2" s="171"/>
    </row>
    <row r="3" spans="2:13" ht="21" customHeight="1" thickTop="1" thickBot="1">
      <c r="B3" s="174" t="s">
        <v>70</v>
      </c>
      <c r="C3" s="175"/>
      <c r="D3" s="175"/>
      <c r="E3" s="165"/>
      <c r="F3" s="176" t="s">
        <v>4</v>
      </c>
      <c r="G3" s="177"/>
      <c r="H3" s="177"/>
      <c r="I3" s="177"/>
      <c r="J3" s="178"/>
      <c r="K3" s="126"/>
    </row>
    <row r="4" spans="2:13" ht="27" thickTop="1" thickBot="1">
      <c r="B4" s="187" t="s">
        <v>11</v>
      </c>
      <c r="C4" s="189" t="s">
        <v>3</v>
      </c>
      <c r="D4" s="189" t="s">
        <v>1</v>
      </c>
      <c r="E4" s="189" t="s">
        <v>0</v>
      </c>
      <c r="F4" s="200" t="s">
        <v>12</v>
      </c>
      <c r="G4" s="200" t="s">
        <v>13</v>
      </c>
      <c r="H4" s="200" t="s">
        <v>2</v>
      </c>
      <c r="I4" s="200" t="s">
        <v>14</v>
      </c>
      <c r="J4" s="189" t="s">
        <v>15</v>
      </c>
      <c r="K4" s="200" t="s">
        <v>17</v>
      </c>
    </row>
    <row r="5" spans="2:13" s="83" customFormat="1" ht="12.75" customHeight="1">
      <c r="B5" s="203" t="s">
        <v>886</v>
      </c>
      <c r="C5" s="222" t="s">
        <v>71</v>
      </c>
      <c r="D5" s="222" t="s">
        <v>887</v>
      </c>
      <c r="E5" s="221" t="s">
        <v>888</v>
      </c>
      <c r="F5" s="220">
        <v>16</v>
      </c>
      <c r="G5" s="220">
        <v>32</v>
      </c>
      <c r="H5" s="197">
        <v>0.66666666666666663</v>
      </c>
      <c r="I5" s="220">
        <v>0</v>
      </c>
      <c r="J5" s="220">
        <v>48</v>
      </c>
      <c r="K5" s="204" t="s">
        <v>889</v>
      </c>
      <c r="L5" s="125" t="s">
        <v>244</v>
      </c>
      <c r="M5" s="156">
        <v>1</v>
      </c>
    </row>
    <row r="6" spans="2:13" s="83" customFormat="1" ht="12.75" customHeight="1">
      <c r="B6" s="202" t="s">
        <v>890</v>
      </c>
      <c r="C6" s="239" t="s">
        <v>71</v>
      </c>
      <c r="D6" s="239" t="s">
        <v>887</v>
      </c>
      <c r="E6" s="236" t="s">
        <v>891</v>
      </c>
      <c r="F6" s="188">
        <v>16</v>
      </c>
      <c r="G6" s="188">
        <v>32</v>
      </c>
      <c r="H6" s="237">
        <v>0.66666666666666663</v>
      </c>
      <c r="I6" s="188">
        <v>0</v>
      </c>
      <c r="J6" s="188">
        <v>48</v>
      </c>
      <c r="K6" s="228" t="s">
        <v>889</v>
      </c>
      <c r="L6" s="125" t="s">
        <v>244</v>
      </c>
      <c r="M6" s="156">
        <v>1</v>
      </c>
    </row>
    <row r="7" spans="2:13" s="83" customFormat="1" ht="12.75" customHeight="1">
      <c r="B7" s="186" t="s">
        <v>892</v>
      </c>
      <c r="C7" s="239" t="s">
        <v>71</v>
      </c>
      <c r="D7" s="239" t="s">
        <v>893</v>
      </c>
      <c r="E7" s="236" t="s">
        <v>894</v>
      </c>
      <c r="F7" s="188">
        <v>65</v>
      </c>
      <c r="G7" s="188">
        <v>139</v>
      </c>
      <c r="H7" s="237">
        <v>0.68137254901960786</v>
      </c>
      <c r="I7" s="188">
        <v>0</v>
      </c>
      <c r="J7" s="188">
        <v>204</v>
      </c>
      <c r="K7" s="228" t="s">
        <v>895</v>
      </c>
      <c r="L7" s="125" t="s">
        <v>245</v>
      </c>
      <c r="M7" s="156">
        <v>1</v>
      </c>
    </row>
    <row r="8" spans="2:13" s="83" customFormat="1" ht="12.75" customHeight="1">
      <c r="B8" s="186" t="s">
        <v>896</v>
      </c>
      <c r="C8" s="239" t="s">
        <v>71</v>
      </c>
      <c r="D8" s="239" t="s">
        <v>893</v>
      </c>
      <c r="E8" s="236" t="s">
        <v>897</v>
      </c>
      <c r="F8" s="188">
        <v>65</v>
      </c>
      <c r="G8" s="188">
        <v>139</v>
      </c>
      <c r="H8" s="237">
        <v>0.68137254901960786</v>
      </c>
      <c r="I8" s="188">
        <v>0</v>
      </c>
      <c r="J8" s="188">
        <v>204</v>
      </c>
      <c r="K8" s="228" t="s">
        <v>895</v>
      </c>
      <c r="L8" s="125" t="s">
        <v>245</v>
      </c>
      <c r="M8" s="156">
        <v>1</v>
      </c>
    </row>
    <row r="9" spans="2:13" s="83" customFormat="1" ht="12.75" customHeight="1">
      <c r="B9" s="186" t="s">
        <v>898</v>
      </c>
      <c r="C9" s="239" t="s">
        <v>71</v>
      </c>
      <c r="D9" s="239" t="s">
        <v>893</v>
      </c>
      <c r="E9" s="236" t="s">
        <v>899</v>
      </c>
      <c r="F9" s="188">
        <v>137</v>
      </c>
      <c r="G9" s="188">
        <v>55</v>
      </c>
      <c r="H9" s="237">
        <v>0.28645833333333331</v>
      </c>
      <c r="I9" s="188">
        <v>0</v>
      </c>
      <c r="J9" s="188">
        <v>192</v>
      </c>
      <c r="K9" s="228" t="s">
        <v>900</v>
      </c>
      <c r="L9" s="125" t="s">
        <v>245</v>
      </c>
      <c r="M9" s="156">
        <v>1</v>
      </c>
    </row>
    <row r="10" spans="2:13" s="83" customFormat="1" ht="12.75" customHeight="1">
      <c r="B10" s="186" t="s">
        <v>901</v>
      </c>
      <c r="C10" s="239" t="s">
        <v>71</v>
      </c>
      <c r="D10" s="239" t="s">
        <v>893</v>
      </c>
      <c r="E10" s="236" t="s">
        <v>902</v>
      </c>
      <c r="F10" s="188">
        <v>39</v>
      </c>
      <c r="G10" s="188">
        <v>153</v>
      </c>
      <c r="H10" s="237">
        <v>0.796875</v>
      </c>
      <c r="I10" s="188">
        <v>0</v>
      </c>
      <c r="J10" s="188">
        <v>192</v>
      </c>
      <c r="K10" s="228" t="s">
        <v>900</v>
      </c>
      <c r="L10" s="125" t="s">
        <v>245</v>
      </c>
      <c r="M10" s="156">
        <v>1</v>
      </c>
    </row>
    <row r="11" spans="2:13" s="83" customFormat="1" ht="12.75" customHeight="1">
      <c r="B11" s="186" t="s">
        <v>903</v>
      </c>
      <c r="C11" s="239" t="s">
        <v>71</v>
      </c>
      <c r="D11" s="239" t="s">
        <v>893</v>
      </c>
      <c r="E11" s="236" t="s">
        <v>904</v>
      </c>
      <c r="F11" s="188">
        <v>59</v>
      </c>
      <c r="G11" s="188">
        <v>205</v>
      </c>
      <c r="H11" s="237">
        <v>0.77651515151515149</v>
      </c>
      <c r="I11" s="188">
        <v>0</v>
      </c>
      <c r="J11" s="188">
        <v>264</v>
      </c>
      <c r="K11" s="228" t="s">
        <v>900</v>
      </c>
      <c r="L11" s="125" t="s">
        <v>244</v>
      </c>
      <c r="M11" s="156">
        <v>1</v>
      </c>
    </row>
    <row r="12" spans="2:13" s="83" customFormat="1" ht="12.75" customHeight="1">
      <c r="B12" s="186" t="s">
        <v>905</v>
      </c>
      <c r="C12" s="239" t="s">
        <v>71</v>
      </c>
      <c r="D12" s="239" t="s">
        <v>893</v>
      </c>
      <c r="E12" s="236" t="s">
        <v>906</v>
      </c>
      <c r="F12" s="188">
        <v>138</v>
      </c>
      <c r="G12" s="188">
        <v>54</v>
      </c>
      <c r="H12" s="237">
        <v>0.28125</v>
      </c>
      <c r="I12" s="188">
        <v>0</v>
      </c>
      <c r="J12" s="188">
        <v>192</v>
      </c>
      <c r="K12" s="228" t="s">
        <v>900</v>
      </c>
      <c r="L12" s="125" t="s">
        <v>244</v>
      </c>
      <c r="M12" s="156">
        <v>1</v>
      </c>
    </row>
    <row r="13" spans="2:13" s="83" customFormat="1" ht="12.75" customHeight="1">
      <c r="B13" s="186" t="s">
        <v>907</v>
      </c>
      <c r="C13" s="239" t="s">
        <v>71</v>
      </c>
      <c r="D13" s="239" t="s">
        <v>893</v>
      </c>
      <c r="E13" s="236" t="s">
        <v>908</v>
      </c>
      <c r="F13" s="188">
        <v>39</v>
      </c>
      <c r="G13" s="188">
        <v>153</v>
      </c>
      <c r="H13" s="237">
        <v>0.796875</v>
      </c>
      <c r="I13" s="188">
        <v>0</v>
      </c>
      <c r="J13" s="188">
        <v>192</v>
      </c>
      <c r="K13" s="228" t="s">
        <v>900</v>
      </c>
      <c r="L13" s="125" t="s">
        <v>245</v>
      </c>
      <c r="M13" s="156">
        <v>1</v>
      </c>
    </row>
    <row r="14" spans="2:13" s="83" customFormat="1" ht="12.75" customHeight="1">
      <c r="B14" s="186" t="s">
        <v>909</v>
      </c>
      <c r="C14" s="239" t="s">
        <v>71</v>
      </c>
      <c r="D14" s="239" t="s">
        <v>893</v>
      </c>
      <c r="E14" s="236" t="s">
        <v>910</v>
      </c>
      <c r="F14" s="188">
        <v>59</v>
      </c>
      <c r="G14" s="188">
        <v>205</v>
      </c>
      <c r="H14" s="237">
        <v>0.77651515151515149</v>
      </c>
      <c r="I14" s="188">
        <v>0</v>
      </c>
      <c r="J14" s="188">
        <v>264</v>
      </c>
      <c r="K14" s="228" t="s">
        <v>900</v>
      </c>
      <c r="L14" s="125" t="s">
        <v>245</v>
      </c>
      <c r="M14" s="156">
        <v>1</v>
      </c>
    </row>
    <row r="15" spans="2:13" s="83" customFormat="1" ht="12.75" customHeight="1">
      <c r="B15" s="202" t="s">
        <v>911</v>
      </c>
      <c r="C15" s="239" t="s">
        <v>79</v>
      </c>
      <c r="D15" s="239" t="s">
        <v>912</v>
      </c>
      <c r="E15" s="236" t="s">
        <v>913</v>
      </c>
      <c r="F15" s="188">
        <v>14</v>
      </c>
      <c r="G15" s="188">
        <v>58</v>
      </c>
      <c r="H15" s="237">
        <v>0.80555555555555558</v>
      </c>
      <c r="I15" s="188">
        <v>0</v>
      </c>
      <c r="J15" s="188">
        <v>72</v>
      </c>
      <c r="K15" s="228" t="s">
        <v>914</v>
      </c>
      <c r="L15" s="125" t="s">
        <v>245</v>
      </c>
      <c r="M15" s="156">
        <v>1</v>
      </c>
    </row>
    <row r="16" spans="2:13" s="83" customFormat="1" ht="12.75" customHeight="1" thickBot="1">
      <c r="B16" s="202" t="s">
        <v>915</v>
      </c>
      <c r="C16" s="239" t="s">
        <v>79</v>
      </c>
      <c r="D16" s="239" t="s">
        <v>912</v>
      </c>
      <c r="E16" s="236" t="s">
        <v>916</v>
      </c>
      <c r="F16" s="188">
        <v>14</v>
      </c>
      <c r="G16" s="188">
        <v>58</v>
      </c>
      <c r="H16" s="237">
        <v>0.80555555555555558</v>
      </c>
      <c r="I16" s="188">
        <v>0</v>
      </c>
      <c r="J16" s="188">
        <v>72</v>
      </c>
      <c r="K16" s="228" t="s">
        <v>914</v>
      </c>
      <c r="L16" s="125" t="s">
        <v>245</v>
      </c>
      <c r="M16" s="156">
        <v>1</v>
      </c>
    </row>
    <row r="17" spans="2:13" ht="21" customHeight="1" thickTop="1">
      <c r="B17" s="198" t="s">
        <v>10</v>
      </c>
      <c r="C17" s="206"/>
      <c r="D17" s="206"/>
      <c r="E17" s="201"/>
      <c r="F17" s="209" t="s">
        <v>4</v>
      </c>
      <c r="G17" s="209"/>
      <c r="H17" s="209"/>
      <c r="I17" s="209"/>
      <c r="J17" s="208"/>
      <c r="K17" s="200" t="s">
        <v>17</v>
      </c>
    </row>
    <row r="18" spans="2:13" s="83" customFormat="1" ht="12.75" customHeight="1">
      <c r="B18" s="196" t="s">
        <v>917</v>
      </c>
      <c r="C18" s="241" t="s">
        <v>16</v>
      </c>
      <c r="D18" s="241" t="s">
        <v>918</v>
      </c>
      <c r="E18" s="235" t="s">
        <v>919</v>
      </c>
      <c r="F18" s="238">
        <v>36</v>
      </c>
      <c r="G18" s="238">
        <v>91</v>
      </c>
      <c r="H18" s="237">
        <v>0.71653543307086609</v>
      </c>
      <c r="I18" s="238">
        <v>0</v>
      </c>
      <c r="J18" s="238">
        <v>127</v>
      </c>
      <c r="K18" s="195" t="s">
        <v>920</v>
      </c>
      <c r="L18" s="125" t="s">
        <v>396</v>
      </c>
      <c r="M18" s="156">
        <v>1</v>
      </c>
    </row>
    <row r="19" spans="2:13" s="83" customFormat="1" ht="12.75" customHeight="1">
      <c r="B19" s="196" t="s">
        <v>921</v>
      </c>
      <c r="C19" s="241" t="s">
        <v>16</v>
      </c>
      <c r="D19" s="241" t="s">
        <v>918</v>
      </c>
      <c r="E19" s="235" t="s">
        <v>922</v>
      </c>
      <c r="F19" s="238">
        <v>36</v>
      </c>
      <c r="G19" s="238">
        <v>72</v>
      </c>
      <c r="H19" s="237">
        <v>0.66666666666666663</v>
      </c>
      <c r="I19" s="238">
        <v>0</v>
      </c>
      <c r="J19" s="238">
        <v>108</v>
      </c>
      <c r="K19" s="195" t="s">
        <v>920</v>
      </c>
      <c r="L19" s="125" t="s">
        <v>397</v>
      </c>
      <c r="M19" s="156">
        <v>1</v>
      </c>
    </row>
    <row r="20" spans="2:13" s="83" customFormat="1" ht="12.75" customHeight="1">
      <c r="B20" s="202" t="s">
        <v>923</v>
      </c>
      <c r="C20" s="240" t="s">
        <v>16</v>
      </c>
      <c r="D20" s="240" t="s">
        <v>918</v>
      </c>
      <c r="E20" s="234" t="s">
        <v>924</v>
      </c>
      <c r="F20" s="238">
        <v>26</v>
      </c>
      <c r="G20" s="238">
        <v>114</v>
      </c>
      <c r="H20" s="237">
        <v>0.81428571428571428</v>
      </c>
      <c r="I20" s="238">
        <v>0</v>
      </c>
      <c r="J20" s="238">
        <v>140</v>
      </c>
      <c r="K20" s="228" t="s">
        <v>925</v>
      </c>
      <c r="L20" s="125" t="s">
        <v>397</v>
      </c>
      <c r="M20" s="156">
        <v>1</v>
      </c>
    </row>
    <row r="21" spans="2:13" s="83" customFormat="1" ht="12.75" customHeight="1">
      <c r="B21" s="196" t="s">
        <v>926</v>
      </c>
      <c r="C21" s="241" t="s">
        <v>16</v>
      </c>
      <c r="D21" s="241" t="s">
        <v>918</v>
      </c>
      <c r="E21" s="235" t="s">
        <v>927</v>
      </c>
      <c r="F21" s="238">
        <v>26</v>
      </c>
      <c r="G21" s="238">
        <v>113</v>
      </c>
      <c r="H21" s="237">
        <v>0.81294964028776984</v>
      </c>
      <c r="I21" s="238">
        <v>0</v>
      </c>
      <c r="J21" s="238">
        <v>139</v>
      </c>
      <c r="K21" s="228" t="s">
        <v>925</v>
      </c>
      <c r="L21" s="125" t="s">
        <v>397</v>
      </c>
      <c r="M21" s="156">
        <v>1</v>
      </c>
    </row>
    <row r="22" spans="2:13" s="83" customFormat="1" ht="12.75" customHeight="1">
      <c r="B22" s="194" t="s">
        <v>928</v>
      </c>
      <c r="C22" s="233" t="s">
        <v>929</v>
      </c>
      <c r="D22" s="240" t="s">
        <v>918</v>
      </c>
      <c r="E22" s="232" t="s">
        <v>930</v>
      </c>
      <c r="F22" s="238">
        <v>6</v>
      </c>
      <c r="G22" s="238">
        <v>26</v>
      </c>
      <c r="H22" s="237">
        <v>0.8125</v>
      </c>
      <c r="I22" s="238">
        <v>0</v>
      </c>
      <c r="J22" s="238">
        <v>32</v>
      </c>
      <c r="K22" s="228" t="s">
        <v>931</v>
      </c>
      <c r="L22" s="125" t="s">
        <v>397</v>
      </c>
      <c r="M22" s="156">
        <v>1</v>
      </c>
    </row>
    <row r="23" spans="2:13" s="83" customFormat="1" ht="12.75" customHeight="1">
      <c r="B23" s="194" t="s">
        <v>932</v>
      </c>
      <c r="C23" s="233" t="s">
        <v>929</v>
      </c>
      <c r="D23" s="240" t="s">
        <v>918</v>
      </c>
      <c r="E23" s="232" t="s">
        <v>933</v>
      </c>
      <c r="F23" s="238">
        <v>6</v>
      </c>
      <c r="G23" s="238">
        <v>26</v>
      </c>
      <c r="H23" s="237">
        <v>0.8125</v>
      </c>
      <c r="I23" s="238">
        <v>0</v>
      </c>
      <c r="J23" s="238">
        <v>32</v>
      </c>
      <c r="K23" s="228" t="s">
        <v>931</v>
      </c>
      <c r="L23" s="125" t="s">
        <v>396</v>
      </c>
      <c r="M23" s="156">
        <v>1</v>
      </c>
    </row>
    <row r="24" spans="2:13" s="83" customFormat="1" ht="12.75" customHeight="1">
      <c r="B24" s="194" t="s">
        <v>934</v>
      </c>
      <c r="C24" s="233" t="s">
        <v>929</v>
      </c>
      <c r="D24" s="240" t="s">
        <v>918</v>
      </c>
      <c r="E24" s="232" t="s">
        <v>935</v>
      </c>
      <c r="F24" s="238">
        <v>31</v>
      </c>
      <c r="G24" s="238">
        <v>9</v>
      </c>
      <c r="H24" s="237">
        <v>0.22500000000000001</v>
      </c>
      <c r="I24" s="238">
        <v>0</v>
      </c>
      <c r="J24" s="238">
        <v>40</v>
      </c>
      <c r="K24" s="228" t="s">
        <v>931</v>
      </c>
      <c r="L24" s="125" t="s">
        <v>396</v>
      </c>
      <c r="M24" s="156">
        <v>1</v>
      </c>
    </row>
    <row r="25" spans="2:13" s="83" customFormat="1" ht="12.75" customHeight="1" thickBot="1">
      <c r="B25" s="193" t="s">
        <v>936</v>
      </c>
      <c r="C25" s="192" t="s">
        <v>929</v>
      </c>
      <c r="D25" s="199" t="s">
        <v>918</v>
      </c>
      <c r="E25" s="191" t="s">
        <v>937</v>
      </c>
      <c r="F25" s="231">
        <v>22</v>
      </c>
      <c r="G25" s="231">
        <v>18</v>
      </c>
      <c r="H25" s="226">
        <v>0.45</v>
      </c>
      <c r="I25" s="231">
        <v>0</v>
      </c>
      <c r="J25" s="231">
        <v>40</v>
      </c>
      <c r="K25" s="227" t="s">
        <v>931</v>
      </c>
      <c r="L25" s="125" t="s">
        <v>397</v>
      </c>
      <c r="M25" s="156">
        <v>1</v>
      </c>
    </row>
    <row r="26" spans="2:13" ht="16.5" customHeight="1"/>
    <row r="27" spans="2:13" ht="13.5" thickBot="1"/>
    <row r="28" spans="2:13" ht="21.75" thickTop="1" thickBot="1">
      <c r="B28" s="179" t="s">
        <v>1149</v>
      </c>
      <c r="C28" s="180"/>
      <c r="D28" s="180"/>
      <c r="E28" s="180"/>
      <c r="F28" s="180"/>
      <c r="G28" s="180"/>
      <c r="H28" s="180"/>
      <c r="I28" s="180"/>
      <c r="J28" s="180"/>
      <c r="K28" s="171"/>
    </row>
    <row r="29" spans="2:13" ht="21.75" thickTop="1" thickBot="1">
      <c r="B29" s="174" t="s">
        <v>70</v>
      </c>
      <c r="C29" s="175"/>
      <c r="D29" s="175"/>
      <c r="E29" s="165"/>
      <c r="F29" s="176" t="s">
        <v>4</v>
      </c>
      <c r="G29" s="177"/>
      <c r="H29" s="177"/>
      <c r="I29" s="177"/>
      <c r="J29" s="178"/>
      <c r="K29" s="126"/>
    </row>
    <row r="30" spans="2:13" ht="27" thickTop="1" thickBot="1">
      <c r="B30" s="187" t="s">
        <v>11</v>
      </c>
      <c r="C30" s="189" t="s">
        <v>3</v>
      </c>
      <c r="D30" s="189" t="s">
        <v>1</v>
      </c>
      <c r="E30" s="189" t="s">
        <v>0</v>
      </c>
      <c r="F30" s="200" t="s">
        <v>12</v>
      </c>
      <c r="G30" s="200" t="s">
        <v>13</v>
      </c>
      <c r="H30" s="200" t="s">
        <v>2</v>
      </c>
      <c r="I30" s="200" t="s">
        <v>14</v>
      </c>
      <c r="J30" s="189" t="s">
        <v>15</v>
      </c>
      <c r="K30" s="200" t="s">
        <v>17</v>
      </c>
    </row>
    <row r="31" spans="2:13" ht="15">
      <c r="B31" s="203" t="s">
        <v>938</v>
      </c>
      <c r="C31" s="222" t="s">
        <v>71</v>
      </c>
      <c r="D31" s="222" t="s">
        <v>887</v>
      </c>
      <c r="E31" s="247" t="s">
        <v>939</v>
      </c>
      <c r="F31" s="217">
        <v>109</v>
      </c>
      <c r="G31" s="217">
        <v>23</v>
      </c>
      <c r="H31" s="197">
        <v>0.17424242424242425</v>
      </c>
      <c r="I31" s="217">
        <v>0</v>
      </c>
      <c r="J31" s="217">
        <v>132</v>
      </c>
      <c r="K31" s="204" t="s">
        <v>889</v>
      </c>
    </row>
    <row r="32" spans="2:13" ht="15">
      <c r="B32" s="202" t="s">
        <v>940</v>
      </c>
      <c r="C32" s="258" t="s">
        <v>71</v>
      </c>
      <c r="D32" s="258" t="s">
        <v>887</v>
      </c>
      <c r="E32" s="255" t="s">
        <v>941</v>
      </c>
      <c r="F32" s="257">
        <v>108</v>
      </c>
      <c r="G32" s="257">
        <v>24</v>
      </c>
      <c r="H32" s="256">
        <v>0.18181818181818182</v>
      </c>
      <c r="I32" s="257">
        <v>0</v>
      </c>
      <c r="J32" s="257">
        <v>132</v>
      </c>
      <c r="K32" s="228" t="s">
        <v>889</v>
      </c>
    </row>
    <row r="33" spans="2:11" ht="15">
      <c r="B33" s="202" t="s">
        <v>942</v>
      </c>
      <c r="C33" s="258" t="s">
        <v>71</v>
      </c>
      <c r="D33" s="258" t="s">
        <v>893</v>
      </c>
      <c r="E33" s="255" t="s">
        <v>943</v>
      </c>
      <c r="F33" s="257">
        <v>116</v>
      </c>
      <c r="G33" s="257">
        <v>4</v>
      </c>
      <c r="H33" s="256">
        <v>3.3333333333333333E-2</v>
      </c>
      <c r="I33" s="257">
        <v>0</v>
      </c>
      <c r="J33" s="257">
        <v>120</v>
      </c>
      <c r="K33" s="228" t="s">
        <v>895</v>
      </c>
    </row>
    <row r="34" spans="2:11" ht="15">
      <c r="B34" s="202" t="s">
        <v>944</v>
      </c>
      <c r="C34" s="258" t="s">
        <v>71</v>
      </c>
      <c r="D34" s="258" t="s">
        <v>893</v>
      </c>
      <c r="E34" s="255" t="s">
        <v>945</v>
      </c>
      <c r="F34" s="257">
        <v>113</v>
      </c>
      <c r="G34" s="257">
        <v>7</v>
      </c>
      <c r="H34" s="256">
        <v>5.8333333333333334E-2</v>
      </c>
      <c r="I34" s="257">
        <v>0</v>
      </c>
      <c r="J34" s="257">
        <v>120</v>
      </c>
      <c r="K34" s="228" t="s">
        <v>895</v>
      </c>
    </row>
    <row r="35" spans="2:11" ht="15">
      <c r="B35" s="202" t="s">
        <v>946</v>
      </c>
      <c r="C35" s="258" t="s">
        <v>71</v>
      </c>
      <c r="D35" s="258" t="s">
        <v>893</v>
      </c>
      <c r="E35" s="252" t="s">
        <v>947</v>
      </c>
      <c r="F35" s="257">
        <v>194</v>
      </c>
      <c r="G35" s="257">
        <v>110</v>
      </c>
      <c r="H35" s="256">
        <v>0.36184210526315791</v>
      </c>
      <c r="I35" s="257">
        <v>0</v>
      </c>
      <c r="J35" s="257">
        <v>304</v>
      </c>
      <c r="K35" s="228" t="s">
        <v>895</v>
      </c>
    </row>
    <row r="36" spans="2:11" ht="15">
      <c r="B36" s="202" t="s">
        <v>948</v>
      </c>
      <c r="C36" s="258" t="s">
        <v>71</v>
      </c>
      <c r="D36" s="258" t="s">
        <v>893</v>
      </c>
      <c r="E36" s="255" t="s">
        <v>949</v>
      </c>
      <c r="F36" s="257">
        <v>20</v>
      </c>
      <c r="G36" s="257">
        <v>300</v>
      </c>
      <c r="H36" s="256">
        <v>0.9375</v>
      </c>
      <c r="I36" s="257">
        <v>0</v>
      </c>
      <c r="J36" s="257">
        <v>320</v>
      </c>
      <c r="K36" s="228" t="s">
        <v>895</v>
      </c>
    </row>
    <row r="37" spans="2:11" ht="15">
      <c r="B37" s="202" t="s">
        <v>950</v>
      </c>
      <c r="C37" s="258" t="s">
        <v>71</v>
      </c>
      <c r="D37" s="258" t="s">
        <v>893</v>
      </c>
      <c r="E37" s="255" t="s">
        <v>951</v>
      </c>
      <c r="F37" s="257">
        <v>114</v>
      </c>
      <c r="G37" s="257">
        <v>18</v>
      </c>
      <c r="H37" s="256">
        <v>0.13636363636363635</v>
      </c>
      <c r="I37" s="257">
        <v>0</v>
      </c>
      <c r="J37" s="257">
        <v>132</v>
      </c>
      <c r="K37" s="228" t="s">
        <v>895</v>
      </c>
    </row>
    <row r="38" spans="2:11" ht="15">
      <c r="B38" s="202" t="s">
        <v>952</v>
      </c>
      <c r="C38" s="258" t="s">
        <v>71</v>
      </c>
      <c r="D38" s="258" t="s">
        <v>893</v>
      </c>
      <c r="E38" s="255" t="s">
        <v>953</v>
      </c>
      <c r="F38" s="257">
        <v>112</v>
      </c>
      <c r="G38" s="257">
        <v>20</v>
      </c>
      <c r="H38" s="256">
        <v>0.15151515151515152</v>
      </c>
      <c r="I38" s="257">
        <v>0</v>
      </c>
      <c r="J38" s="257">
        <v>132</v>
      </c>
      <c r="K38" s="228" t="s">
        <v>895</v>
      </c>
    </row>
    <row r="39" spans="2:11" ht="15">
      <c r="B39" s="202" t="s">
        <v>954</v>
      </c>
      <c r="C39" s="258" t="s">
        <v>71</v>
      </c>
      <c r="D39" s="258" t="s">
        <v>893</v>
      </c>
      <c r="E39" s="252" t="s">
        <v>955</v>
      </c>
      <c r="F39" s="257">
        <v>193</v>
      </c>
      <c r="G39" s="257">
        <v>111</v>
      </c>
      <c r="H39" s="256">
        <v>0.36513157894736842</v>
      </c>
      <c r="I39" s="257">
        <v>0</v>
      </c>
      <c r="J39" s="257">
        <v>304</v>
      </c>
      <c r="K39" s="228" t="s">
        <v>895</v>
      </c>
    </row>
    <row r="40" spans="2:11" ht="15">
      <c r="B40" s="224" t="s">
        <v>956</v>
      </c>
      <c r="C40" s="258" t="s">
        <v>71</v>
      </c>
      <c r="D40" s="258" t="s">
        <v>893</v>
      </c>
      <c r="E40" s="254" t="s">
        <v>957</v>
      </c>
      <c r="F40" s="257">
        <v>20</v>
      </c>
      <c r="G40" s="257">
        <v>300</v>
      </c>
      <c r="H40" s="256">
        <v>0.9375</v>
      </c>
      <c r="I40" s="257">
        <v>1</v>
      </c>
      <c r="J40" s="257">
        <v>320</v>
      </c>
      <c r="K40" s="228" t="s">
        <v>895</v>
      </c>
    </row>
    <row r="41" spans="2:11" ht="15">
      <c r="B41" s="202" t="s">
        <v>958</v>
      </c>
      <c r="C41" s="258" t="s">
        <v>71</v>
      </c>
      <c r="D41" s="258" t="s">
        <v>893</v>
      </c>
      <c r="E41" s="255" t="s">
        <v>959</v>
      </c>
      <c r="F41" s="257">
        <v>101</v>
      </c>
      <c r="G41" s="257">
        <v>83</v>
      </c>
      <c r="H41" s="256">
        <v>0.45108695652173914</v>
      </c>
      <c r="I41" s="257">
        <v>2</v>
      </c>
      <c r="J41" s="257">
        <v>184</v>
      </c>
      <c r="K41" s="228" t="s">
        <v>900</v>
      </c>
    </row>
    <row r="42" spans="2:11" ht="15">
      <c r="B42" s="202" t="s">
        <v>960</v>
      </c>
      <c r="C42" s="258" t="s">
        <v>71</v>
      </c>
      <c r="D42" s="258" t="s">
        <v>893</v>
      </c>
      <c r="E42" s="255" t="s">
        <v>961</v>
      </c>
      <c r="F42" s="257">
        <v>100</v>
      </c>
      <c r="G42" s="257">
        <v>84</v>
      </c>
      <c r="H42" s="256">
        <v>0.45652173913043476</v>
      </c>
      <c r="I42" s="257">
        <v>0</v>
      </c>
      <c r="J42" s="257">
        <v>184</v>
      </c>
      <c r="K42" s="228" t="s">
        <v>900</v>
      </c>
    </row>
    <row r="43" spans="2:11" ht="15">
      <c r="B43" s="202" t="s">
        <v>962</v>
      </c>
      <c r="C43" s="258" t="s">
        <v>71</v>
      </c>
      <c r="D43" s="258" t="s">
        <v>893</v>
      </c>
      <c r="E43" s="255" t="s">
        <v>963</v>
      </c>
      <c r="F43" s="257">
        <v>208</v>
      </c>
      <c r="G43" s="257">
        <v>128</v>
      </c>
      <c r="H43" s="256">
        <v>0.38095238095238093</v>
      </c>
      <c r="I43" s="257">
        <v>0</v>
      </c>
      <c r="J43" s="257">
        <v>336</v>
      </c>
      <c r="K43" s="228" t="s">
        <v>900</v>
      </c>
    </row>
    <row r="44" spans="2:11" ht="15">
      <c r="B44" s="202" t="s">
        <v>964</v>
      </c>
      <c r="C44" s="258" t="s">
        <v>71</v>
      </c>
      <c r="D44" s="258" t="s">
        <v>893</v>
      </c>
      <c r="E44" s="255" t="s">
        <v>965</v>
      </c>
      <c r="F44" s="257">
        <v>144</v>
      </c>
      <c r="G44" s="257">
        <v>96</v>
      </c>
      <c r="H44" s="256">
        <v>0.4</v>
      </c>
      <c r="I44" s="257">
        <v>0</v>
      </c>
      <c r="J44" s="257">
        <v>240</v>
      </c>
      <c r="K44" s="228" t="s">
        <v>900</v>
      </c>
    </row>
    <row r="45" spans="2:11" ht="15">
      <c r="B45" s="202" t="s">
        <v>966</v>
      </c>
      <c r="C45" s="258" t="s">
        <v>71</v>
      </c>
      <c r="D45" s="258" t="s">
        <v>893</v>
      </c>
      <c r="E45" s="255" t="s">
        <v>967</v>
      </c>
      <c r="F45" s="257">
        <v>294</v>
      </c>
      <c r="G45" s="257">
        <v>18</v>
      </c>
      <c r="H45" s="256">
        <v>5.7692307692307696E-2</v>
      </c>
      <c r="I45" s="257">
        <v>0</v>
      </c>
      <c r="J45" s="257">
        <v>312</v>
      </c>
      <c r="K45" s="228" t="s">
        <v>900</v>
      </c>
    </row>
    <row r="46" spans="2:11" ht="15">
      <c r="B46" s="202" t="s">
        <v>968</v>
      </c>
      <c r="C46" s="258" t="s">
        <v>71</v>
      </c>
      <c r="D46" s="258" t="s">
        <v>893</v>
      </c>
      <c r="E46" s="252" t="s">
        <v>969</v>
      </c>
      <c r="F46" s="257">
        <v>210</v>
      </c>
      <c r="G46" s="257">
        <v>30</v>
      </c>
      <c r="H46" s="256">
        <v>0.125</v>
      </c>
      <c r="I46" s="257">
        <v>0</v>
      </c>
      <c r="J46" s="257">
        <v>240</v>
      </c>
      <c r="K46" s="228" t="s">
        <v>900</v>
      </c>
    </row>
    <row r="47" spans="2:11" ht="15">
      <c r="B47" s="202" t="s">
        <v>970</v>
      </c>
      <c r="C47" s="258" t="s">
        <v>71</v>
      </c>
      <c r="D47" s="258" t="s">
        <v>893</v>
      </c>
      <c r="E47" s="255" t="s">
        <v>971</v>
      </c>
      <c r="F47" s="257">
        <v>91</v>
      </c>
      <c r="G47" s="257">
        <v>29</v>
      </c>
      <c r="H47" s="256">
        <v>0.24166666666666667</v>
      </c>
      <c r="I47" s="257">
        <v>0</v>
      </c>
      <c r="J47" s="257">
        <v>120</v>
      </c>
      <c r="K47" s="228" t="s">
        <v>900</v>
      </c>
    </row>
    <row r="48" spans="2:11" ht="15">
      <c r="B48" s="202" t="s">
        <v>972</v>
      </c>
      <c r="C48" s="258" t="s">
        <v>71</v>
      </c>
      <c r="D48" s="258" t="s">
        <v>893</v>
      </c>
      <c r="E48" s="255" t="s">
        <v>973</v>
      </c>
      <c r="F48" s="257">
        <v>129</v>
      </c>
      <c r="G48" s="257">
        <v>87</v>
      </c>
      <c r="H48" s="256">
        <v>0.40277777777777779</v>
      </c>
      <c r="I48" s="257">
        <v>0</v>
      </c>
      <c r="J48" s="257">
        <v>216</v>
      </c>
      <c r="K48" s="228" t="s">
        <v>900</v>
      </c>
    </row>
    <row r="49" spans="2:11" ht="15">
      <c r="B49" s="202" t="s">
        <v>974</v>
      </c>
      <c r="C49" s="258" t="s">
        <v>71</v>
      </c>
      <c r="D49" s="258" t="s">
        <v>893</v>
      </c>
      <c r="E49" s="255" t="s">
        <v>975</v>
      </c>
      <c r="F49" s="257">
        <v>198</v>
      </c>
      <c r="G49" s="257">
        <v>138</v>
      </c>
      <c r="H49" s="256">
        <v>0.4107142857142857</v>
      </c>
      <c r="I49" s="257">
        <v>0</v>
      </c>
      <c r="J49" s="257">
        <v>336</v>
      </c>
      <c r="K49" s="228" t="s">
        <v>900</v>
      </c>
    </row>
    <row r="50" spans="2:11" ht="15">
      <c r="B50" s="202" t="s">
        <v>976</v>
      </c>
      <c r="C50" s="258" t="s">
        <v>71</v>
      </c>
      <c r="D50" s="258" t="s">
        <v>893</v>
      </c>
      <c r="E50" s="255" t="s">
        <v>977</v>
      </c>
      <c r="F50" s="257">
        <v>146</v>
      </c>
      <c r="G50" s="257">
        <v>94</v>
      </c>
      <c r="H50" s="256">
        <v>0.39166666666666666</v>
      </c>
      <c r="I50" s="257">
        <v>0</v>
      </c>
      <c r="J50" s="257">
        <v>240</v>
      </c>
      <c r="K50" s="228" t="s">
        <v>900</v>
      </c>
    </row>
    <row r="51" spans="2:11" ht="15">
      <c r="B51" s="202" t="s">
        <v>978</v>
      </c>
      <c r="C51" s="258" t="s">
        <v>71</v>
      </c>
      <c r="D51" s="258" t="s">
        <v>893</v>
      </c>
      <c r="E51" s="255" t="s">
        <v>979</v>
      </c>
      <c r="F51" s="257">
        <v>291</v>
      </c>
      <c r="G51" s="257">
        <v>21</v>
      </c>
      <c r="H51" s="256">
        <v>6.7307692307692304E-2</v>
      </c>
      <c r="I51" s="257">
        <v>0</v>
      </c>
      <c r="J51" s="257">
        <v>312</v>
      </c>
      <c r="K51" s="228" t="s">
        <v>900</v>
      </c>
    </row>
    <row r="52" spans="2:11" ht="15">
      <c r="B52" s="202" t="s">
        <v>980</v>
      </c>
      <c r="C52" s="258" t="s">
        <v>71</v>
      </c>
      <c r="D52" s="258" t="s">
        <v>893</v>
      </c>
      <c r="E52" s="252" t="s">
        <v>981</v>
      </c>
      <c r="F52" s="257">
        <v>210</v>
      </c>
      <c r="G52" s="257">
        <v>30</v>
      </c>
      <c r="H52" s="256">
        <v>0.125</v>
      </c>
      <c r="I52" s="257">
        <v>0</v>
      </c>
      <c r="J52" s="257">
        <v>240</v>
      </c>
      <c r="K52" s="228" t="s">
        <v>900</v>
      </c>
    </row>
    <row r="53" spans="2:11" ht="15">
      <c r="B53" s="202" t="s">
        <v>982</v>
      </c>
      <c r="C53" s="258" t="s">
        <v>71</v>
      </c>
      <c r="D53" s="258" t="s">
        <v>893</v>
      </c>
      <c r="E53" s="255" t="s">
        <v>983</v>
      </c>
      <c r="F53" s="257">
        <v>91</v>
      </c>
      <c r="G53" s="257">
        <v>29</v>
      </c>
      <c r="H53" s="256">
        <v>0.24166666666666667</v>
      </c>
      <c r="I53" s="257">
        <v>0</v>
      </c>
      <c r="J53" s="257">
        <v>120</v>
      </c>
      <c r="K53" s="228" t="s">
        <v>900</v>
      </c>
    </row>
    <row r="54" spans="2:11" ht="15">
      <c r="B54" s="202" t="s">
        <v>984</v>
      </c>
      <c r="C54" s="258" t="s">
        <v>71</v>
      </c>
      <c r="D54" s="258" t="s">
        <v>893</v>
      </c>
      <c r="E54" s="255" t="s">
        <v>985</v>
      </c>
      <c r="F54" s="257">
        <v>129</v>
      </c>
      <c r="G54" s="257">
        <v>87</v>
      </c>
      <c r="H54" s="256">
        <v>0.40277777777777779</v>
      </c>
      <c r="I54" s="257">
        <v>0</v>
      </c>
      <c r="J54" s="257">
        <v>216</v>
      </c>
      <c r="K54" s="228" t="s">
        <v>900</v>
      </c>
    </row>
    <row r="55" spans="2:11" ht="15">
      <c r="B55" s="202" t="s">
        <v>986</v>
      </c>
      <c r="C55" s="258" t="s">
        <v>71</v>
      </c>
      <c r="D55" s="258" t="s">
        <v>893</v>
      </c>
      <c r="E55" s="255" t="s">
        <v>987</v>
      </c>
      <c r="F55" s="257">
        <v>125</v>
      </c>
      <c r="G55" s="257">
        <v>115</v>
      </c>
      <c r="H55" s="256">
        <v>0.47916666666666669</v>
      </c>
      <c r="I55" s="257">
        <v>0</v>
      </c>
      <c r="J55" s="257">
        <v>240</v>
      </c>
      <c r="K55" s="228" t="s">
        <v>900</v>
      </c>
    </row>
    <row r="56" spans="2:11" ht="15">
      <c r="B56" s="202" t="s">
        <v>988</v>
      </c>
      <c r="C56" s="258" t="s">
        <v>71</v>
      </c>
      <c r="D56" s="258" t="s">
        <v>893</v>
      </c>
      <c r="E56" s="255" t="s">
        <v>989</v>
      </c>
      <c r="F56" s="257">
        <v>143</v>
      </c>
      <c r="G56" s="257">
        <v>73</v>
      </c>
      <c r="H56" s="256">
        <v>0.33796296296296297</v>
      </c>
      <c r="I56" s="257">
        <v>0</v>
      </c>
      <c r="J56" s="257">
        <v>216</v>
      </c>
      <c r="K56" s="228" t="s">
        <v>900</v>
      </c>
    </row>
    <row r="57" spans="2:11" ht="15">
      <c r="B57" s="202" t="s">
        <v>990</v>
      </c>
      <c r="C57" s="258" t="s">
        <v>71</v>
      </c>
      <c r="D57" s="258" t="s">
        <v>893</v>
      </c>
      <c r="E57" s="255" t="s">
        <v>991</v>
      </c>
      <c r="F57" s="257">
        <v>240</v>
      </c>
      <c r="G57" s="257">
        <v>24</v>
      </c>
      <c r="H57" s="256">
        <v>9.0909090909090912E-2</v>
      </c>
      <c r="I57" s="257">
        <v>1</v>
      </c>
      <c r="J57" s="257">
        <v>264</v>
      </c>
      <c r="K57" s="228" t="s">
        <v>900</v>
      </c>
    </row>
    <row r="58" spans="2:11" ht="15">
      <c r="B58" s="202" t="s">
        <v>992</v>
      </c>
      <c r="C58" s="258" t="s">
        <v>71</v>
      </c>
      <c r="D58" s="258" t="s">
        <v>893</v>
      </c>
      <c r="E58" s="255" t="s">
        <v>993</v>
      </c>
      <c r="F58" s="257">
        <v>119</v>
      </c>
      <c r="G58" s="257">
        <v>121</v>
      </c>
      <c r="H58" s="256">
        <v>0.50416666666666665</v>
      </c>
      <c r="I58" s="257">
        <v>0</v>
      </c>
      <c r="J58" s="257">
        <v>240</v>
      </c>
      <c r="K58" s="228" t="s">
        <v>900</v>
      </c>
    </row>
    <row r="59" spans="2:11" ht="15">
      <c r="B59" s="202" t="s">
        <v>994</v>
      </c>
      <c r="C59" s="258" t="s">
        <v>71</v>
      </c>
      <c r="D59" s="258" t="s">
        <v>893</v>
      </c>
      <c r="E59" s="255" t="s">
        <v>995</v>
      </c>
      <c r="F59" s="257">
        <v>139</v>
      </c>
      <c r="G59" s="257">
        <v>77</v>
      </c>
      <c r="H59" s="256">
        <v>0.35648148148148145</v>
      </c>
      <c r="I59" s="257">
        <v>0</v>
      </c>
      <c r="J59" s="257">
        <v>216</v>
      </c>
      <c r="K59" s="228" t="s">
        <v>900</v>
      </c>
    </row>
    <row r="60" spans="2:11" ht="15">
      <c r="B60" s="202" t="s">
        <v>996</v>
      </c>
      <c r="C60" s="258" t="s">
        <v>71</v>
      </c>
      <c r="D60" s="258" t="s">
        <v>893</v>
      </c>
      <c r="E60" s="255" t="s">
        <v>997</v>
      </c>
      <c r="F60" s="257">
        <v>241</v>
      </c>
      <c r="G60" s="257">
        <v>23</v>
      </c>
      <c r="H60" s="256">
        <v>8.7121212121212127E-2</v>
      </c>
      <c r="I60" s="257">
        <v>0</v>
      </c>
      <c r="J60" s="257">
        <v>264</v>
      </c>
      <c r="K60" s="228" t="s">
        <v>900</v>
      </c>
    </row>
    <row r="61" spans="2:11" ht="15">
      <c r="B61" s="202" t="s">
        <v>998</v>
      </c>
      <c r="C61" s="258" t="s">
        <v>71</v>
      </c>
      <c r="D61" s="258" t="s">
        <v>893</v>
      </c>
      <c r="E61" s="255" t="s">
        <v>999</v>
      </c>
      <c r="F61" s="257">
        <v>58</v>
      </c>
      <c r="G61" s="257">
        <v>102</v>
      </c>
      <c r="H61" s="256">
        <v>0.63749999999999996</v>
      </c>
      <c r="I61" s="257">
        <v>0</v>
      </c>
      <c r="J61" s="257">
        <v>160</v>
      </c>
      <c r="K61" s="228" t="s">
        <v>900</v>
      </c>
    </row>
    <row r="62" spans="2:11" ht="15">
      <c r="B62" s="202" t="s">
        <v>1000</v>
      </c>
      <c r="C62" s="258" t="s">
        <v>71</v>
      </c>
      <c r="D62" s="258" t="s">
        <v>893</v>
      </c>
      <c r="E62" s="255" t="s">
        <v>1001</v>
      </c>
      <c r="F62" s="257">
        <v>58</v>
      </c>
      <c r="G62" s="257">
        <v>102</v>
      </c>
      <c r="H62" s="256">
        <v>0.63749999999999996</v>
      </c>
      <c r="I62" s="257">
        <v>0</v>
      </c>
      <c r="J62" s="257">
        <v>160</v>
      </c>
      <c r="K62" s="228" t="s">
        <v>900</v>
      </c>
    </row>
    <row r="63" spans="2:11" ht="15">
      <c r="B63" s="202" t="s">
        <v>1002</v>
      </c>
      <c r="C63" s="258" t="s">
        <v>71</v>
      </c>
      <c r="D63" s="258" t="s">
        <v>912</v>
      </c>
      <c r="E63" s="255" t="s">
        <v>1003</v>
      </c>
      <c r="F63" s="257">
        <v>65</v>
      </c>
      <c r="G63" s="257">
        <v>115</v>
      </c>
      <c r="H63" s="256">
        <v>0.63888888888888884</v>
      </c>
      <c r="I63" s="257">
        <v>0</v>
      </c>
      <c r="J63" s="257">
        <v>180</v>
      </c>
      <c r="K63" s="228" t="s">
        <v>914</v>
      </c>
    </row>
    <row r="64" spans="2:11" ht="15.75" thickBot="1">
      <c r="B64" s="202" t="s">
        <v>1004</v>
      </c>
      <c r="C64" s="258" t="s">
        <v>71</v>
      </c>
      <c r="D64" s="258" t="s">
        <v>912</v>
      </c>
      <c r="E64" s="255" t="s">
        <v>1005</v>
      </c>
      <c r="F64" s="257">
        <v>62</v>
      </c>
      <c r="G64" s="257">
        <v>118</v>
      </c>
      <c r="H64" s="256">
        <v>0.65363128491620115</v>
      </c>
      <c r="I64" s="257">
        <v>1</v>
      </c>
      <c r="J64" s="257">
        <v>180</v>
      </c>
      <c r="K64" s="228" t="s">
        <v>914</v>
      </c>
    </row>
    <row r="65" spans="2:11" ht="21" customHeight="1" thickTop="1">
      <c r="B65" s="198" t="s">
        <v>10</v>
      </c>
      <c r="C65" s="206"/>
      <c r="D65" s="206"/>
      <c r="E65" s="201"/>
      <c r="F65" s="209" t="s">
        <v>4</v>
      </c>
      <c r="G65" s="209"/>
      <c r="H65" s="209"/>
      <c r="I65" s="209"/>
      <c r="J65" s="208"/>
      <c r="K65" s="200" t="s">
        <v>17</v>
      </c>
    </row>
    <row r="66" spans="2:11" ht="15">
      <c r="B66" s="194" t="s">
        <v>1006</v>
      </c>
      <c r="C66" s="249" t="s">
        <v>16</v>
      </c>
      <c r="D66" s="249" t="s">
        <v>918</v>
      </c>
      <c r="E66" s="255" t="s">
        <v>1007</v>
      </c>
      <c r="F66" s="230">
        <v>52</v>
      </c>
      <c r="G66" s="230">
        <v>44</v>
      </c>
      <c r="H66" s="223">
        <v>0.45833333333333331</v>
      </c>
      <c r="I66" s="230">
        <v>0</v>
      </c>
      <c r="J66" s="230">
        <v>96</v>
      </c>
      <c r="K66" s="243" t="s">
        <v>920</v>
      </c>
    </row>
    <row r="67" spans="2:11" ht="15">
      <c r="B67" s="194" t="s">
        <v>1008</v>
      </c>
      <c r="C67" s="249" t="s">
        <v>16</v>
      </c>
      <c r="D67" s="249" t="s">
        <v>918</v>
      </c>
      <c r="E67" s="255" t="s">
        <v>1009</v>
      </c>
      <c r="F67" s="230">
        <v>51</v>
      </c>
      <c r="G67" s="230">
        <v>45</v>
      </c>
      <c r="H67" s="223">
        <v>0.46875</v>
      </c>
      <c r="I67" s="230">
        <v>0</v>
      </c>
      <c r="J67" s="230">
        <v>96</v>
      </c>
      <c r="K67" s="243" t="s">
        <v>920</v>
      </c>
    </row>
    <row r="68" spans="2:11" ht="15">
      <c r="B68" s="194" t="s">
        <v>1010</v>
      </c>
      <c r="C68" s="249" t="s">
        <v>16</v>
      </c>
      <c r="D68" s="249" t="s">
        <v>918</v>
      </c>
      <c r="E68" s="255" t="s">
        <v>1011</v>
      </c>
      <c r="F68" s="230">
        <v>36</v>
      </c>
      <c r="G68" s="230">
        <v>68</v>
      </c>
      <c r="H68" s="223">
        <v>0.65384615384615385</v>
      </c>
      <c r="I68" s="230">
        <v>0</v>
      </c>
      <c r="J68" s="230">
        <v>104</v>
      </c>
      <c r="K68" s="242" t="s">
        <v>925</v>
      </c>
    </row>
    <row r="69" spans="2:11" ht="15">
      <c r="B69" s="194" t="s">
        <v>1012</v>
      </c>
      <c r="C69" s="249" t="s">
        <v>16</v>
      </c>
      <c r="D69" s="249" t="s">
        <v>918</v>
      </c>
      <c r="E69" s="255" t="s">
        <v>1013</v>
      </c>
      <c r="F69" s="230">
        <v>36</v>
      </c>
      <c r="G69" s="230">
        <v>68</v>
      </c>
      <c r="H69" s="223">
        <v>0.65384615384615385</v>
      </c>
      <c r="I69" s="230">
        <v>0</v>
      </c>
      <c r="J69" s="230">
        <v>104</v>
      </c>
      <c r="K69" s="242" t="s">
        <v>925</v>
      </c>
    </row>
    <row r="70" spans="2:11" ht="15">
      <c r="B70" s="194" t="s">
        <v>1014</v>
      </c>
      <c r="C70" s="249" t="s">
        <v>16</v>
      </c>
      <c r="D70" s="249" t="s">
        <v>918</v>
      </c>
      <c r="E70" s="255" t="s">
        <v>1015</v>
      </c>
      <c r="F70" s="230">
        <v>19</v>
      </c>
      <c r="G70" s="230">
        <v>85</v>
      </c>
      <c r="H70" s="223">
        <v>0.81730769230769229</v>
      </c>
      <c r="I70" s="230">
        <v>0</v>
      </c>
      <c r="J70" s="230">
        <v>104</v>
      </c>
      <c r="K70" s="242" t="s">
        <v>925</v>
      </c>
    </row>
    <row r="71" spans="2:11" ht="15">
      <c r="B71" s="194" t="s">
        <v>1016</v>
      </c>
      <c r="C71" s="249" t="s">
        <v>16</v>
      </c>
      <c r="D71" s="249" t="s">
        <v>918</v>
      </c>
      <c r="E71" s="255" t="s">
        <v>1017</v>
      </c>
      <c r="F71" s="230">
        <v>18</v>
      </c>
      <c r="G71" s="230">
        <v>86</v>
      </c>
      <c r="H71" s="223">
        <v>0.82692307692307687</v>
      </c>
      <c r="I71" s="230">
        <v>0</v>
      </c>
      <c r="J71" s="230">
        <v>104</v>
      </c>
      <c r="K71" s="242" t="s">
        <v>925</v>
      </c>
    </row>
    <row r="72" spans="2:11" ht="15">
      <c r="B72" s="248" t="s">
        <v>1018</v>
      </c>
      <c r="C72" s="250" t="s">
        <v>16</v>
      </c>
      <c r="D72" s="250" t="s">
        <v>918</v>
      </c>
      <c r="E72" s="253" t="s">
        <v>1019</v>
      </c>
      <c r="F72" s="230">
        <v>105</v>
      </c>
      <c r="G72" s="230">
        <v>35</v>
      </c>
      <c r="H72" s="223">
        <v>0.25</v>
      </c>
      <c r="I72" s="230">
        <v>0</v>
      </c>
      <c r="J72" s="230">
        <v>140</v>
      </c>
      <c r="K72" s="243" t="s">
        <v>920</v>
      </c>
    </row>
    <row r="73" spans="2:11" ht="15">
      <c r="B73" s="248" t="s">
        <v>1020</v>
      </c>
      <c r="C73" s="250" t="s">
        <v>16</v>
      </c>
      <c r="D73" s="250" t="s">
        <v>918</v>
      </c>
      <c r="E73" s="253" t="s">
        <v>1021</v>
      </c>
      <c r="F73" s="230">
        <v>88</v>
      </c>
      <c r="G73" s="230">
        <v>52</v>
      </c>
      <c r="H73" s="223">
        <v>0.37142857142857144</v>
      </c>
      <c r="I73" s="230">
        <v>0</v>
      </c>
      <c r="J73" s="230">
        <v>140</v>
      </c>
      <c r="K73" s="243" t="s">
        <v>920</v>
      </c>
    </row>
    <row r="74" spans="2:11" ht="15">
      <c r="B74" s="248" t="s">
        <v>1022</v>
      </c>
      <c r="C74" s="250" t="s">
        <v>16</v>
      </c>
      <c r="D74" s="250" t="s">
        <v>918</v>
      </c>
      <c r="E74" s="253" t="s">
        <v>1023</v>
      </c>
      <c r="F74" s="230">
        <v>16</v>
      </c>
      <c r="G74" s="230">
        <v>124</v>
      </c>
      <c r="H74" s="223">
        <v>0.88571428571428568</v>
      </c>
      <c r="I74" s="230">
        <v>0</v>
      </c>
      <c r="J74" s="230">
        <v>140</v>
      </c>
      <c r="K74" s="242" t="s">
        <v>925</v>
      </c>
    </row>
    <row r="75" spans="2:11" ht="15">
      <c r="B75" s="248" t="s">
        <v>1024</v>
      </c>
      <c r="C75" s="250" t="s">
        <v>16</v>
      </c>
      <c r="D75" s="250" t="s">
        <v>918</v>
      </c>
      <c r="E75" s="245" t="s">
        <v>1025</v>
      </c>
      <c r="F75" s="230">
        <v>17</v>
      </c>
      <c r="G75" s="230">
        <v>123</v>
      </c>
      <c r="H75" s="223">
        <v>0.87857142857142856</v>
      </c>
      <c r="I75" s="230">
        <v>0</v>
      </c>
      <c r="J75" s="230">
        <v>140</v>
      </c>
      <c r="K75" s="242" t="s">
        <v>925</v>
      </c>
    </row>
    <row r="76" spans="2:11" ht="15">
      <c r="B76" s="248" t="s">
        <v>1026</v>
      </c>
      <c r="C76" s="250" t="s">
        <v>16</v>
      </c>
      <c r="D76" s="250" t="s">
        <v>918</v>
      </c>
      <c r="E76" s="253" t="s">
        <v>1027</v>
      </c>
      <c r="F76" s="230">
        <v>119</v>
      </c>
      <c r="G76" s="230">
        <v>21</v>
      </c>
      <c r="H76" s="223">
        <v>0.15</v>
      </c>
      <c r="I76" s="230">
        <v>0</v>
      </c>
      <c r="J76" s="230">
        <v>140</v>
      </c>
      <c r="K76" s="243" t="s">
        <v>920</v>
      </c>
    </row>
    <row r="77" spans="2:11" ht="15">
      <c r="B77" s="248" t="s">
        <v>1028</v>
      </c>
      <c r="C77" s="250" t="s">
        <v>16</v>
      </c>
      <c r="D77" s="250" t="s">
        <v>918</v>
      </c>
      <c r="E77" s="253" t="s">
        <v>1029</v>
      </c>
      <c r="F77" s="230">
        <v>131</v>
      </c>
      <c r="G77" s="230">
        <v>9</v>
      </c>
      <c r="H77" s="223">
        <v>6.4285714285714279E-2</v>
      </c>
      <c r="I77" s="230">
        <v>0</v>
      </c>
      <c r="J77" s="230">
        <v>140</v>
      </c>
      <c r="K77" s="243" t="s">
        <v>920</v>
      </c>
    </row>
    <row r="78" spans="2:11" ht="15">
      <c r="B78" s="194" t="s">
        <v>1030</v>
      </c>
      <c r="C78" s="249" t="s">
        <v>16</v>
      </c>
      <c r="D78" s="249" t="s">
        <v>918</v>
      </c>
      <c r="E78" s="255" t="s">
        <v>1031</v>
      </c>
      <c r="F78" s="230">
        <v>43</v>
      </c>
      <c r="G78" s="230">
        <v>85</v>
      </c>
      <c r="H78" s="223">
        <v>0.6640625</v>
      </c>
      <c r="I78" s="230">
        <v>0</v>
      </c>
      <c r="J78" s="230">
        <v>128</v>
      </c>
      <c r="K78" s="242" t="s">
        <v>925</v>
      </c>
    </row>
    <row r="79" spans="2:11" ht="15">
      <c r="B79" s="194" t="s">
        <v>1032</v>
      </c>
      <c r="C79" s="249" t="s">
        <v>16</v>
      </c>
      <c r="D79" s="249" t="s">
        <v>918</v>
      </c>
      <c r="E79" s="255" t="s">
        <v>1033</v>
      </c>
      <c r="F79" s="230">
        <v>43</v>
      </c>
      <c r="G79" s="230">
        <v>85</v>
      </c>
      <c r="H79" s="223">
        <v>0.6640625</v>
      </c>
      <c r="I79" s="230">
        <v>0</v>
      </c>
      <c r="J79" s="230">
        <v>128</v>
      </c>
      <c r="K79" s="242" t="s">
        <v>925</v>
      </c>
    </row>
    <row r="80" spans="2:11" ht="15">
      <c r="B80" s="194" t="s">
        <v>1034</v>
      </c>
      <c r="C80" s="249" t="s">
        <v>16</v>
      </c>
      <c r="D80" s="249" t="s">
        <v>918</v>
      </c>
      <c r="E80" s="255" t="s">
        <v>1035</v>
      </c>
      <c r="F80" s="230">
        <v>55</v>
      </c>
      <c r="G80" s="230">
        <v>73</v>
      </c>
      <c r="H80" s="223">
        <v>0.5703125</v>
      </c>
      <c r="I80" s="230">
        <v>0</v>
      </c>
      <c r="J80" s="230">
        <v>128</v>
      </c>
      <c r="K80" s="242" t="s">
        <v>925</v>
      </c>
    </row>
    <row r="81" spans="2:11" ht="15">
      <c r="B81" s="194" t="s">
        <v>1036</v>
      </c>
      <c r="C81" s="249" t="s">
        <v>16</v>
      </c>
      <c r="D81" s="249" t="s">
        <v>918</v>
      </c>
      <c r="E81" s="255" t="s">
        <v>1037</v>
      </c>
      <c r="F81" s="230">
        <v>55</v>
      </c>
      <c r="G81" s="230">
        <v>73</v>
      </c>
      <c r="H81" s="223">
        <v>0.5703125</v>
      </c>
      <c r="I81" s="230">
        <v>0</v>
      </c>
      <c r="J81" s="230">
        <v>128</v>
      </c>
      <c r="K81" s="242" t="s">
        <v>925</v>
      </c>
    </row>
    <row r="82" spans="2:11" ht="15">
      <c r="B82" s="194" t="s">
        <v>1038</v>
      </c>
      <c r="C82" s="249" t="s">
        <v>16</v>
      </c>
      <c r="D82" s="249" t="s">
        <v>918</v>
      </c>
      <c r="E82" s="255" t="s">
        <v>1039</v>
      </c>
      <c r="F82" s="230">
        <v>16</v>
      </c>
      <c r="G82" s="230">
        <v>112</v>
      </c>
      <c r="H82" s="223">
        <v>0.875</v>
      </c>
      <c r="I82" s="230">
        <v>0</v>
      </c>
      <c r="J82" s="230">
        <v>128</v>
      </c>
      <c r="K82" s="242" t="s">
        <v>925</v>
      </c>
    </row>
    <row r="83" spans="2:11" ht="15">
      <c r="B83" s="194" t="s">
        <v>1040</v>
      </c>
      <c r="C83" s="249" t="s">
        <v>16</v>
      </c>
      <c r="D83" s="249" t="s">
        <v>918</v>
      </c>
      <c r="E83" s="255" t="s">
        <v>1041</v>
      </c>
      <c r="F83" s="230">
        <v>16</v>
      </c>
      <c r="G83" s="230">
        <v>112</v>
      </c>
      <c r="H83" s="223">
        <v>0.875</v>
      </c>
      <c r="I83" s="230">
        <v>0</v>
      </c>
      <c r="J83" s="230">
        <v>128</v>
      </c>
      <c r="K83" s="242" t="s">
        <v>925</v>
      </c>
    </row>
    <row r="84" spans="2:11" ht="15">
      <c r="B84" s="194" t="s">
        <v>1042</v>
      </c>
      <c r="C84" s="251" t="s">
        <v>929</v>
      </c>
      <c r="D84" s="249" t="s">
        <v>918</v>
      </c>
      <c r="E84" s="249" t="s">
        <v>1043</v>
      </c>
      <c r="F84" s="230">
        <v>6</v>
      </c>
      <c r="G84" s="230">
        <v>26</v>
      </c>
      <c r="H84" s="223">
        <v>0.8125</v>
      </c>
      <c r="I84" s="230">
        <v>0</v>
      </c>
      <c r="J84" s="230">
        <v>32</v>
      </c>
      <c r="K84" s="242" t="s">
        <v>931</v>
      </c>
    </row>
    <row r="85" spans="2:11" ht="15">
      <c r="B85" s="194" t="s">
        <v>1044</v>
      </c>
      <c r="C85" s="251" t="s">
        <v>929</v>
      </c>
      <c r="D85" s="249" t="s">
        <v>918</v>
      </c>
      <c r="E85" s="249" t="s">
        <v>1045</v>
      </c>
      <c r="F85" s="230">
        <v>6</v>
      </c>
      <c r="G85" s="230">
        <v>26</v>
      </c>
      <c r="H85" s="223">
        <v>0.8125</v>
      </c>
      <c r="I85" s="230">
        <v>0</v>
      </c>
      <c r="J85" s="230">
        <v>32</v>
      </c>
      <c r="K85" s="242" t="s">
        <v>931</v>
      </c>
    </row>
    <row r="86" spans="2:11" ht="15">
      <c r="B86" s="194" t="s">
        <v>1046</v>
      </c>
      <c r="C86" s="251" t="s">
        <v>929</v>
      </c>
      <c r="D86" s="249" t="s">
        <v>918</v>
      </c>
      <c r="E86" s="249" t="s">
        <v>1047</v>
      </c>
      <c r="F86" s="230">
        <v>20</v>
      </c>
      <c r="G86" s="230">
        <v>20</v>
      </c>
      <c r="H86" s="223">
        <v>0.5</v>
      </c>
      <c r="I86" s="230">
        <v>0</v>
      </c>
      <c r="J86" s="230">
        <v>40</v>
      </c>
      <c r="K86" s="242" t="s">
        <v>931</v>
      </c>
    </row>
    <row r="87" spans="2:11" ht="15.75" thickBot="1">
      <c r="B87" s="193" t="s">
        <v>1048</v>
      </c>
      <c r="C87" s="192" t="s">
        <v>929</v>
      </c>
      <c r="D87" s="191" t="s">
        <v>918</v>
      </c>
      <c r="E87" s="191" t="s">
        <v>1049</v>
      </c>
      <c r="F87" s="212">
        <v>20</v>
      </c>
      <c r="G87" s="212">
        <v>20</v>
      </c>
      <c r="H87" s="211">
        <v>0.5</v>
      </c>
      <c r="I87" s="212">
        <v>0</v>
      </c>
      <c r="J87" s="212">
        <v>40</v>
      </c>
      <c r="K87" s="216" t="s">
        <v>931</v>
      </c>
    </row>
    <row r="89" spans="2:11" ht="13.5" thickBot="1"/>
    <row r="90" spans="2:11" ht="21" thickBot="1">
      <c r="B90" s="244" t="s">
        <v>1150</v>
      </c>
      <c r="C90" s="218"/>
      <c r="D90" s="218"/>
      <c r="E90" s="218"/>
      <c r="F90" s="218"/>
      <c r="G90" s="218"/>
      <c r="H90" s="218"/>
      <c r="I90" s="218"/>
      <c r="J90" s="218"/>
      <c r="K90" s="219"/>
    </row>
    <row r="91" spans="2:11" ht="21" thickBot="1">
      <c r="B91" s="174" t="s">
        <v>70</v>
      </c>
      <c r="C91" s="175"/>
      <c r="D91" s="175"/>
      <c r="E91" s="165"/>
      <c r="F91" s="176" t="s">
        <v>4</v>
      </c>
      <c r="G91" s="177"/>
      <c r="H91" s="177"/>
      <c r="I91" s="177"/>
      <c r="J91" s="178"/>
      <c r="K91" s="246"/>
    </row>
    <row r="92" spans="2:11" ht="27" thickTop="1" thickBot="1">
      <c r="B92" s="187" t="s">
        <v>11</v>
      </c>
      <c r="C92" s="189" t="s">
        <v>3</v>
      </c>
      <c r="D92" s="189" t="s">
        <v>1</v>
      </c>
      <c r="E92" s="189" t="s">
        <v>0</v>
      </c>
      <c r="F92" s="200" t="s">
        <v>12</v>
      </c>
      <c r="G92" s="200" t="s">
        <v>13</v>
      </c>
      <c r="H92" s="200" t="s">
        <v>2</v>
      </c>
      <c r="I92" s="200" t="s">
        <v>14</v>
      </c>
      <c r="J92" s="189" t="s">
        <v>15</v>
      </c>
      <c r="K92" s="200" t="s">
        <v>17</v>
      </c>
    </row>
    <row r="93" spans="2:11" ht="15">
      <c r="B93" s="229" t="s">
        <v>1050</v>
      </c>
      <c r="C93" s="222" t="s">
        <v>71</v>
      </c>
      <c r="D93" s="222" t="s">
        <v>893</v>
      </c>
      <c r="E93" s="247" t="s">
        <v>1051</v>
      </c>
      <c r="F93" s="217">
        <v>134</v>
      </c>
      <c r="G93" s="217">
        <v>10</v>
      </c>
      <c r="H93" s="197">
        <v>6.9444444444444448E-2</v>
      </c>
      <c r="I93" s="217">
        <v>0</v>
      </c>
      <c r="J93" s="217">
        <v>144</v>
      </c>
      <c r="K93" s="204" t="s">
        <v>895</v>
      </c>
    </row>
    <row r="94" spans="2:11" ht="15">
      <c r="B94" s="205" t="s">
        <v>1052</v>
      </c>
      <c r="C94" s="268" t="s">
        <v>71</v>
      </c>
      <c r="D94" s="268" t="s">
        <v>893</v>
      </c>
      <c r="E94" s="264" t="s">
        <v>1053</v>
      </c>
      <c r="F94" s="267">
        <v>130</v>
      </c>
      <c r="G94" s="267">
        <v>14</v>
      </c>
      <c r="H94" s="266">
        <v>9.7222222222222224E-2</v>
      </c>
      <c r="I94" s="267">
        <v>0</v>
      </c>
      <c r="J94" s="267">
        <v>144</v>
      </c>
      <c r="K94" s="228" t="s">
        <v>895</v>
      </c>
    </row>
    <row r="95" spans="2:11" ht="15">
      <c r="B95" s="205" t="s">
        <v>1054</v>
      </c>
      <c r="C95" s="268" t="s">
        <v>71</v>
      </c>
      <c r="D95" s="268" t="s">
        <v>893</v>
      </c>
      <c r="E95" s="264" t="s">
        <v>1055</v>
      </c>
      <c r="F95" s="267">
        <v>113</v>
      </c>
      <c r="G95" s="267">
        <v>19</v>
      </c>
      <c r="H95" s="266">
        <v>0.14393939393939395</v>
      </c>
      <c r="I95" s="267">
        <v>0</v>
      </c>
      <c r="J95" s="267">
        <v>132</v>
      </c>
      <c r="K95" s="228" t="s">
        <v>895</v>
      </c>
    </row>
    <row r="96" spans="2:11" ht="15">
      <c r="B96" s="205" t="s">
        <v>1056</v>
      </c>
      <c r="C96" s="268" t="s">
        <v>71</v>
      </c>
      <c r="D96" s="268" t="s">
        <v>893</v>
      </c>
      <c r="E96" s="263" t="s">
        <v>1057</v>
      </c>
      <c r="F96" s="267">
        <v>78</v>
      </c>
      <c r="G96" s="267">
        <v>66</v>
      </c>
      <c r="H96" s="266">
        <v>0.45833333333333331</v>
      </c>
      <c r="I96" s="267">
        <v>0</v>
      </c>
      <c r="J96" s="267">
        <v>144</v>
      </c>
      <c r="K96" s="228" t="s">
        <v>895</v>
      </c>
    </row>
    <row r="97" spans="2:11" ht="15">
      <c r="B97" s="205" t="s">
        <v>1058</v>
      </c>
      <c r="C97" s="268" t="s">
        <v>71</v>
      </c>
      <c r="D97" s="268" t="s">
        <v>893</v>
      </c>
      <c r="E97" s="264" t="s">
        <v>1059</v>
      </c>
      <c r="F97" s="267">
        <v>134</v>
      </c>
      <c r="G97" s="267">
        <v>10</v>
      </c>
      <c r="H97" s="266">
        <v>6.2937062937062943E-2</v>
      </c>
      <c r="I97" s="267">
        <v>1</v>
      </c>
      <c r="J97" s="267">
        <v>144</v>
      </c>
      <c r="K97" s="228" t="s">
        <v>895</v>
      </c>
    </row>
    <row r="98" spans="2:11" ht="15">
      <c r="B98" s="205" t="s">
        <v>1060</v>
      </c>
      <c r="C98" s="268" t="s">
        <v>71</v>
      </c>
      <c r="D98" s="268" t="s">
        <v>893</v>
      </c>
      <c r="E98" s="264" t="s">
        <v>1061</v>
      </c>
      <c r="F98" s="267">
        <v>130</v>
      </c>
      <c r="G98" s="267">
        <v>14</v>
      </c>
      <c r="H98" s="266">
        <v>9.7222222222222224E-2</v>
      </c>
      <c r="I98" s="267">
        <v>0</v>
      </c>
      <c r="J98" s="267">
        <v>144</v>
      </c>
      <c r="K98" s="228" t="s">
        <v>895</v>
      </c>
    </row>
    <row r="99" spans="2:11" ht="15">
      <c r="B99" s="205" t="s">
        <v>1062</v>
      </c>
      <c r="C99" s="268" t="s">
        <v>71</v>
      </c>
      <c r="D99" s="268" t="s">
        <v>893</v>
      </c>
      <c r="E99" s="264" t="s">
        <v>1063</v>
      </c>
      <c r="F99" s="267">
        <v>112</v>
      </c>
      <c r="G99" s="267">
        <v>20</v>
      </c>
      <c r="H99" s="266">
        <v>0.15151515151515152</v>
      </c>
      <c r="I99" s="267">
        <v>0</v>
      </c>
      <c r="J99" s="267">
        <v>132</v>
      </c>
      <c r="K99" s="228" t="s">
        <v>895</v>
      </c>
    </row>
    <row r="100" spans="2:11" ht="15">
      <c r="B100" s="205" t="s">
        <v>1064</v>
      </c>
      <c r="C100" s="268" t="s">
        <v>71</v>
      </c>
      <c r="D100" s="268" t="s">
        <v>893</v>
      </c>
      <c r="E100" s="262" t="s">
        <v>1065</v>
      </c>
      <c r="F100" s="267">
        <v>78</v>
      </c>
      <c r="G100" s="267">
        <v>66</v>
      </c>
      <c r="H100" s="266">
        <v>0.45833333333333331</v>
      </c>
      <c r="I100" s="267">
        <v>0</v>
      </c>
      <c r="J100" s="267">
        <v>144</v>
      </c>
      <c r="K100" s="228" t="s">
        <v>895</v>
      </c>
    </row>
    <row r="101" spans="2:11" ht="15">
      <c r="B101" s="205" t="s">
        <v>1066</v>
      </c>
      <c r="C101" s="268" t="s">
        <v>71</v>
      </c>
      <c r="D101" s="268" t="s">
        <v>887</v>
      </c>
      <c r="E101" s="264" t="s">
        <v>1067</v>
      </c>
      <c r="F101" s="267">
        <v>101</v>
      </c>
      <c r="G101" s="267">
        <v>19</v>
      </c>
      <c r="H101" s="266">
        <v>0.15833333333333333</v>
      </c>
      <c r="I101" s="267">
        <v>0</v>
      </c>
      <c r="J101" s="267">
        <v>120</v>
      </c>
      <c r="K101" s="228" t="s">
        <v>889</v>
      </c>
    </row>
    <row r="102" spans="2:11" ht="15">
      <c r="B102" s="205" t="s">
        <v>1068</v>
      </c>
      <c r="C102" s="268" t="s">
        <v>71</v>
      </c>
      <c r="D102" s="268" t="s">
        <v>887</v>
      </c>
      <c r="E102" s="264" t="s">
        <v>1069</v>
      </c>
      <c r="F102" s="267">
        <v>101</v>
      </c>
      <c r="G102" s="267">
        <v>19</v>
      </c>
      <c r="H102" s="266">
        <v>0.15833333333333333</v>
      </c>
      <c r="I102" s="267">
        <v>0</v>
      </c>
      <c r="J102" s="267">
        <v>120</v>
      </c>
      <c r="K102" s="228" t="s">
        <v>889</v>
      </c>
    </row>
    <row r="103" spans="2:11" ht="15">
      <c r="B103" s="205" t="s">
        <v>1070</v>
      </c>
      <c r="C103" s="268" t="s">
        <v>71</v>
      </c>
      <c r="D103" s="268" t="s">
        <v>893</v>
      </c>
      <c r="E103" s="264" t="s">
        <v>1071</v>
      </c>
      <c r="F103" s="267">
        <v>126</v>
      </c>
      <c r="G103" s="267">
        <v>226</v>
      </c>
      <c r="H103" s="266">
        <v>0.64204545454545459</v>
      </c>
      <c r="I103" s="267">
        <v>0</v>
      </c>
      <c r="J103" s="267">
        <v>352</v>
      </c>
      <c r="K103" s="228" t="s">
        <v>895</v>
      </c>
    </row>
    <row r="104" spans="2:11" ht="15">
      <c r="B104" s="205" t="s">
        <v>1072</v>
      </c>
      <c r="C104" s="268" t="s">
        <v>71</v>
      </c>
      <c r="D104" s="268" t="s">
        <v>893</v>
      </c>
      <c r="E104" s="264" t="s">
        <v>1073</v>
      </c>
      <c r="F104" s="267">
        <v>126</v>
      </c>
      <c r="G104" s="267">
        <v>226</v>
      </c>
      <c r="H104" s="266">
        <v>0.64204545454545459</v>
      </c>
      <c r="I104" s="267">
        <v>0</v>
      </c>
      <c r="J104" s="267">
        <v>352</v>
      </c>
      <c r="K104" s="228" t="s">
        <v>895</v>
      </c>
    </row>
    <row r="105" spans="2:11" ht="15">
      <c r="B105" s="205" t="s">
        <v>1074</v>
      </c>
      <c r="C105" s="268" t="s">
        <v>71</v>
      </c>
      <c r="D105" s="268" t="s">
        <v>893</v>
      </c>
      <c r="E105" s="264" t="s">
        <v>1075</v>
      </c>
      <c r="F105" s="267">
        <v>53</v>
      </c>
      <c r="G105" s="267">
        <v>107</v>
      </c>
      <c r="H105" s="266">
        <v>0.66874999999999996</v>
      </c>
      <c r="I105" s="267">
        <v>0</v>
      </c>
      <c r="J105" s="267">
        <v>160</v>
      </c>
      <c r="K105" s="228" t="s">
        <v>900</v>
      </c>
    </row>
    <row r="106" spans="2:11" ht="15">
      <c r="B106" s="205" t="s">
        <v>1076</v>
      </c>
      <c r="C106" s="268" t="s">
        <v>71</v>
      </c>
      <c r="D106" s="268" t="s">
        <v>893</v>
      </c>
      <c r="E106" s="264" t="s">
        <v>1077</v>
      </c>
      <c r="F106" s="267">
        <v>52</v>
      </c>
      <c r="G106" s="267">
        <v>108</v>
      </c>
      <c r="H106" s="266">
        <v>0.67500000000000004</v>
      </c>
      <c r="I106" s="267">
        <v>0</v>
      </c>
      <c r="J106" s="267">
        <v>160</v>
      </c>
      <c r="K106" s="228" t="s">
        <v>900</v>
      </c>
    </row>
    <row r="107" spans="2:11" ht="15">
      <c r="B107" s="205" t="s">
        <v>1078</v>
      </c>
      <c r="C107" s="268" t="s">
        <v>71</v>
      </c>
      <c r="D107" s="268" t="s">
        <v>893</v>
      </c>
      <c r="E107" s="264" t="s">
        <v>1079</v>
      </c>
      <c r="F107" s="267">
        <v>169</v>
      </c>
      <c r="G107" s="267">
        <v>71</v>
      </c>
      <c r="H107" s="266">
        <v>0.29583333333333334</v>
      </c>
      <c r="I107" s="267">
        <v>0</v>
      </c>
      <c r="J107" s="267">
        <v>240</v>
      </c>
      <c r="K107" s="228" t="s">
        <v>900</v>
      </c>
    </row>
    <row r="108" spans="2:11" ht="15">
      <c r="B108" s="205" t="s">
        <v>1080</v>
      </c>
      <c r="C108" s="268" t="s">
        <v>71</v>
      </c>
      <c r="D108" s="268" t="s">
        <v>893</v>
      </c>
      <c r="E108" s="264" t="s">
        <v>1081</v>
      </c>
      <c r="F108" s="267">
        <v>183</v>
      </c>
      <c r="G108" s="267">
        <v>81</v>
      </c>
      <c r="H108" s="266">
        <v>0.30681818181818182</v>
      </c>
      <c r="I108" s="267">
        <v>0</v>
      </c>
      <c r="J108" s="267">
        <v>264</v>
      </c>
      <c r="K108" s="228" t="s">
        <v>900</v>
      </c>
    </row>
    <row r="109" spans="2:11" ht="15">
      <c r="B109" s="205" t="s">
        <v>1082</v>
      </c>
      <c r="C109" s="268" t="s">
        <v>71</v>
      </c>
      <c r="D109" s="268" t="s">
        <v>893</v>
      </c>
      <c r="E109" s="264" t="s">
        <v>1083</v>
      </c>
      <c r="F109" s="267">
        <v>108</v>
      </c>
      <c r="G109" s="267">
        <v>60</v>
      </c>
      <c r="H109" s="266">
        <v>0.35714285714285715</v>
      </c>
      <c r="I109" s="267">
        <v>0</v>
      </c>
      <c r="J109" s="267">
        <v>168</v>
      </c>
      <c r="K109" s="228" t="s">
        <v>900</v>
      </c>
    </row>
    <row r="110" spans="2:11" ht="15">
      <c r="B110" s="205" t="s">
        <v>1084</v>
      </c>
      <c r="C110" s="268" t="s">
        <v>71</v>
      </c>
      <c r="D110" s="268" t="s">
        <v>893</v>
      </c>
      <c r="E110" s="264" t="s">
        <v>1085</v>
      </c>
      <c r="F110" s="267">
        <v>110</v>
      </c>
      <c r="G110" s="267">
        <v>82</v>
      </c>
      <c r="H110" s="266">
        <v>0.42708333333333331</v>
      </c>
      <c r="I110" s="267">
        <v>0</v>
      </c>
      <c r="J110" s="267">
        <v>192</v>
      </c>
      <c r="K110" s="228" t="s">
        <v>900</v>
      </c>
    </row>
    <row r="111" spans="2:11" ht="15">
      <c r="B111" s="205" t="s">
        <v>1086</v>
      </c>
      <c r="C111" s="268" t="s">
        <v>71</v>
      </c>
      <c r="D111" s="268" t="s">
        <v>893</v>
      </c>
      <c r="E111" s="264" t="s">
        <v>1087</v>
      </c>
      <c r="F111" s="267">
        <v>175</v>
      </c>
      <c r="G111" s="267">
        <v>65</v>
      </c>
      <c r="H111" s="266">
        <v>0.27083333333333331</v>
      </c>
      <c r="I111" s="267">
        <v>0</v>
      </c>
      <c r="J111" s="267">
        <v>240</v>
      </c>
      <c r="K111" s="228" t="s">
        <v>900</v>
      </c>
    </row>
    <row r="112" spans="2:11" ht="15">
      <c r="B112" s="205" t="s">
        <v>1088</v>
      </c>
      <c r="C112" s="268" t="s">
        <v>71</v>
      </c>
      <c r="D112" s="268" t="s">
        <v>893</v>
      </c>
      <c r="E112" s="264" t="s">
        <v>1089</v>
      </c>
      <c r="F112" s="267">
        <v>236</v>
      </c>
      <c r="G112" s="267">
        <v>100</v>
      </c>
      <c r="H112" s="266">
        <v>0.29761904761904762</v>
      </c>
      <c r="I112" s="267">
        <v>0</v>
      </c>
      <c r="J112" s="267">
        <v>336</v>
      </c>
      <c r="K112" s="228" t="s">
        <v>900</v>
      </c>
    </row>
    <row r="113" spans="2:11" ht="15">
      <c r="B113" s="205" t="s">
        <v>1090</v>
      </c>
      <c r="C113" s="268" t="s">
        <v>71</v>
      </c>
      <c r="D113" s="268" t="s">
        <v>893</v>
      </c>
      <c r="E113" s="264" t="s">
        <v>1091</v>
      </c>
      <c r="F113" s="267">
        <v>222</v>
      </c>
      <c r="G113" s="267">
        <v>58</v>
      </c>
      <c r="H113" s="266">
        <v>0.20430107526881722</v>
      </c>
      <c r="I113" s="267">
        <v>1</v>
      </c>
      <c r="J113" s="267">
        <v>280</v>
      </c>
      <c r="K113" s="228" t="s">
        <v>900</v>
      </c>
    </row>
    <row r="114" spans="2:11" ht="15">
      <c r="B114" s="205" t="s">
        <v>1092</v>
      </c>
      <c r="C114" s="268" t="s">
        <v>71</v>
      </c>
      <c r="D114" s="268" t="s">
        <v>893</v>
      </c>
      <c r="E114" s="264" t="s">
        <v>1093</v>
      </c>
      <c r="F114" s="267">
        <v>181</v>
      </c>
      <c r="G114" s="267">
        <v>59</v>
      </c>
      <c r="H114" s="266">
        <v>0.24583333333333332</v>
      </c>
      <c r="I114" s="267">
        <v>0</v>
      </c>
      <c r="J114" s="267">
        <v>240</v>
      </c>
      <c r="K114" s="228" t="s">
        <v>900</v>
      </c>
    </row>
    <row r="115" spans="2:11" ht="15">
      <c r="B115" s="205" t="s">
        <v>1094</v>
      </c>
      <c r="C115" s="268" t="s">
        <v>71</v>
      </c>
      <c r="D115" s="268" t="s">
        <v>893</v>
      </c>
      <c r="E115" s="264" t="s">
        <v>1095</v>
      </c>
      <c r="F115" s="267">
        <v>196</v>
      </c>
      <c r="G115" s="267">
        <v>68</v>
      </c>
      <c r="H115" s="266">
        <v>0.25757575757575757</v>
      </c>
      <c r="I115" s="267">
        <v>0</v>
      </c>
      <c r="J115" s="267">
        <v>264</v>
      </c>
      <c r="K115" s="228" t="s">
        <v>900</v>
      </c>
    </row>
    <row r="116" spans="2:11" ht="15">
      <c r="B116" s="205" t="s">
        <v>1096</v>
      </c>
      <c r="C116" s="268" t="s">
        <v>71</v>
      </c>
      <c r="D116" s="268" t="s">
        <v>893</v>
      </c>
      <c r="E116" s="264" t="s">
        <v>1097</v>
      </c>
      <c r="F116" s="267">
        <v>108</v>
      </c>
      <c r="G116" s="267">
        <v>60</v>
      </c>
      <c r="H116" s="266">
        <v>0.35714285714285715</v>
      </c>
      <c r="I116" s="267">
        <v>0</v>
      </c>
      <c r="J116" s="267">
        <v>168</v>
      </c>
      <c r="K116" s="228" t="s">
        <v>900</v>
      </c>
    </row>
    <row r="117" spans="2:11" ht="15">
      <c r="B117" s="205" t="s">
        <v>1098</v>
      </c>
      <c r="C117" s="268" t="s">
        <v>71</v>
      </c>
      <c r="D117" s="268" t="s">
        <v>893</v>
      </c>
      <c r="E117" s="264" t="s">
        <v>1099</v>
      </c>
      <c r="F117" s="267">
        <v>111</v>
      </c>
      <c r="G117" s="267">
        <v>81</v>
      </c>
      <c r="H117" s="266">
        <v>0.421875</v>
      </c>
      <c r="I117" s="267">
        <v>0</v>
      </c>
      <c r="J117" s="267">
        <v>192</v>
      </c>
      <c r="K117" s="228" t="s">
        <v>900</v>
      </c>
    </row>
    <row r="118" spans="2:11" ht="15">
      <c r="B118" s="205" t="s">
        <v>1100</v>
      </c>
      <c r="C118" s="268" t="s">
        <v>71</v>
      </c>
      <c r="D118" s="268" t="s">
        <v>893</v>
      </c>
      <c r="E118" s="264" t="s">
        <v>1101</v>
      </c>
      <c r="F118" s="267">
        <v>186</v>
      </c>
      <c r="G118" s="267">
        <v>54</v>
      </c>
      <c r="H118" s="266">
        <v>0.22500000000000001</v>
      </c>
      <c r="I118" s="267">
        <v>0</v>
      </c>
      <c r="J118" s="267">
        <v>240</v>
      </c>
      <c r="K118" s="228" t="s">
        <v>900</v>
      </c>
    </row>
    <row r="119" spans="2:11" ht="15">
      <c r="B119" s="205" t="s">
        <v>1102</v>
      </c>
      <c r="C119" s="268" t="s">
        <v>71</v>
      </c>
      <c r="D119" s="268" t="s">
        <v>893</v>
      </c>
      <c r="E119" s="264" t="s">
        <v>1103</v>
      </c>
      <c r="F119" s="267">
        <v>236</v>
      </c>
      <c r="G119" s="267">
        <v>100</v>
      </c>
      <c r="H119" s="266">
        <v>0.29761904761904762</v>
      </c>
      <c r="I119" s="267">
        <v>0</v>
      </c>
      <c r="J119" s="267">
        <v>336</v>
      </c>
      <c r="K119" s="228" t="s">
        <v>900</v>
      </c>
    </row>
    <row r="120" spans="2:11" ht="15">
      <c r="B120" s="205" t="s">
        <v>1104</v>
      </c>
      <c r="C120" s="268" t="s">
        <v>71</v>
      </c>
      <c r="D120" s="268" t="s">
        <v>893</v>
      </c>
      <c r="E120" s="264" t="s">
        <v>1105</v>
      </c>
      <c r="F120" s="267">
        <v>222</v>
      </c>
      <c r="G120" s="267">
        <v>58</v>
      </c>
      <c r="H120" s="266">
        <v>0.20714285714285716</v>
      </c>
      <c r="I120" s="267">
        <v>0</v>
      </c>
      <c r="J120" s="267">
        <v>280</v>
      </c>
      <c r="K120" s="228" t="s">
        <v>900</v>
      </c>
    </row>
    <row r="121" spans="2:11" ht="15">
      <c r="B121" s="205" t="s">
        <v>1106</v>
      </c>
      <c r="C121" s="269" t="s">
        <v>71</v>
      </c>
      <c r="D121" s="268" t="s">
        <v>893</v>
      </c>
      <c r="E121" s="261" t="s">
        <v>1107</v>
      </c>
      <c r="F121" s="267">
        <v>161</v>
      </c>
      <c r="G121" s="267">
        <v>31</v>
      </c>
      <c r="H121" s="266">
        <v>0.16145833333333334</v>
      </c>
      <c r="I121" s="267">
        <v>0</v>
      </c>
      <c r="J121" s="267">
        <v>192</v>
      </c>
      <c r="K121" s="228" t="s">
        <v>900</v>
      </c>
    </row>
    <row r="122" spans="2:11" ht="15">
      <c r="B122" s="205" t="s">
        <v>1108</v>
      </c>
      <c r="C122" s="268" t="s">
        <v>71</v>
      </c>
      <c r="D122" s="268" t="s">
        <v>893</v>
      </c>
      <c r="E122" s="264" t="s">
        <v>1109</v>
      </c>
      <c r="F122" s="267">
        <v>218</v>
      </c>
      <c r="G122" s="267">
        <v>22</v>
      </c>
      <c r="H122" s="266">
        <v>9.166666666666666E-2</v>
      </c>
      <c r="I122" s="267">
        <v>0</v>
      </c>
      <c r="J122" s="267">
        <v>240</v>
      </c>
      <c r="K122" s="228" t="s">
        <v>900</v>
      </c>
    </row>
    <row r="123" spans="2:11" ht="15">
      <c r="B123" s="205" t="s">
        <v>1110</v>
      </c>
      <c r="C123" s="268" t="s">
        <v>71</v>
      </c>
      <c r="D123" s="268" t="s">
        <v>893</v>
      </c>
      <c r="E123" s="264" t="s">
        <v>1111</v>
      </c>
      <c r="F123" s="267">
        <v>199</v>
      </c>
      <c r="G123" s="267">
        <v>113</v>
      </c>
      <c r="H123" s="266">
        <v>0.36217948717948717</v>
      </c>
      <c r="I123" s="267">
        <v>0</v>
      </c>
      <c r="J123" s="267">
        <v>312</v>
      </c>
      <c r="K123" s="228" t="s">
        <v>900</v>
      </c>
    </row>
    <row r="124" spans="2:11" ht="15">
      <c r="B124" s="205" t="s">
        <v>1112</v>
      </c>
      <c r="C124" s="269" t="s">
        <v>71</v>
      </c>
      <c r="D124" s="268" t="s">
        <v>893</v>
      </c>
      <c r="E124" s="261" t="s">
        <v>1113</v>
      </c>
      <c r="F124" s="267">
        <v>159</v>
      </c>
      <c r="G124" s="267">
        <v>33</v>
      </c>
      <c r="H124" s="266">
        <v>0.171875</v>
      </c>
      <c r="I124" s="267">
        <v>1</v>
      </c>
      <c r="J124" s="267">
        <v>192</v>
      </c>
      <c r="K124" s="228" t="s">
        <v>900</v>
      </c>
    </row>
    <row r="125" spans="2:11" ht="15">
      <c r="B125" s="205" t="s">
        <v>1114</v>
      </c>
      <c r="C125" s="268" t="s">
        <v>71</v>
      </c>
      <c r="D125" s="268" t="s">
        <v>893</v>
      </c>
      <c r="E125" s="264" t="s">
        <v>1115</v>
      </c>
      <c r="F125" s="267">
        <v>218</v>
      </c>
      <c r="G125" s="267">
        <v>22</v>
      </c>
      <c r="H125" s="266">
        <v>9.166666666666666E-2</v>
      </c>
      <c r="I125" s="267">
        <v>0</v>
      </c>
      <c r="J125" s="267">
        <v>240</v>
      </c>
      <c r="K125" s="228" t="s">
        <v>900</v>
      </c>
    </row>
    <row r="126" spans="2:11" ht="15">
      <c r="B126" s="205" t="s">
        <v>1116</v>
      </c>
      <c r="C126" s="268" t="s">
        <v>71</v>
      </c>
      <c r="D126" s="268" t="s">
        <v>893</v>
      </c>
      <c r="E126" s="264" t="s">
        <v>1117</v>
      </c>
      <c r="F126" s="267">
        <v>181</v>
      </c>
      <c r="G126" s="267">
        <v>131</v>
      </c>
      <c r="H126" s="266">
        <v>0.41987179487179488</v>
      </c>
      <c r="I126" s="267">
        <v>0</v>
      </c>
      <c r="J126" s="267">
        <v>312</v>
      </c>
      <c r="K126" s="228" t="s">
        <v>900</v>
      </c>
    </row>
    <row r="127" spans="2:11" ht="15">
      <c r="B127" s="202" t="s">
        <v>1118</v>
      </c>
      <c r="C127" s="268" t="s">
        <v>71</v>
      </c>
      <c r="D127" s="268" t="s">
        <v>912</v>
      </c>
      <c r="E127" s="264" t="s">
        <v>1119</v>
      </c>
      <c r="F127" s="267">
        <v>60</v>
      </c>
      <c r="G127" s="267">
        <v>120</v>
      </c>
      <c r="H127" s="266">
        <v>0.66666666666666663</v>
      </c>
      <c r="I127" s="267">
        <v>0</v>
      </c>
      <c r="J127" s="267">
        <v>180</v>
      </c>
      <c r="K127" s="228" t="s">
        <v>914</v>
      </c>
    </row>
    <row r="128" spans="2:11" ht="15.75" thickBot="1">
      <c r="B128" s="207" t="s">
        <v>1120</v>
      </c>
      <c r="C128" s="225" t="s">
        <v>71</v>
      </c>
      <c r="D128" s="225" t="s">
        <v>912</v>
      </c>
      <c r="E128" s="215" t="s">
        <v>1121</v>
      </c>
      <c r="F128" s="231">
        <v>61</v>
      </c>
      <c r="G128" s="231">
        <v>119</v>
      </c>
      <c r="H128" s="226">
        <v>0.66111111111111109</v>
      </c>
      <c r="I128" s="231">
        <v>0</v>
      </c>
      <c r="J128" s="231">
        <v>180</v>
      </c>
      <c r="K128" s="227" t="s">
        <v>914</v>
      </c>
    </row>
    <row r="130" spans="2:11" ht="13.5" thickBot="1"/>
    <row r="131" spans="2:11" ht="21" thickBot="1">
      <c r="B131" s="244" t="s">
        <v>1156</v>
      </c>
      <c r="C131" s="218"/>
      <c r="D131" s="218"/>
      <c r="E131" s="218"/>
      <c r="F131" s="218"/>
      <c r="G131" s="218"/>
      <c r="H131" s="218"/>
      <c r="I131" s="218"/>
      <c r="J131" s="218"/>
      <c r="K131" s="219"/>
    </row>
    <row r="132" spans="2:11" ht="21" thickBot="1">
      <c r="B132" s="174" t="s">
        <v>70</v>
      </c>
      <c r="C132" s="175"/>
      <c r="D132" s="175"/>
      <c r="E132" s="165"/>
      <c r="F132" s="176" t="s">
        <v>4</v>
      </c>
      <c r="G132" s="177"/>
      <c r="H132" s="177"/>
      <c r="I132" s="177"/>
      <c r="J132" s="178"/>
      <c r="K132" s="246"/>
    </row>
    <row r="133" spans="2:11" ht="27" thickTop="1" thickBot="1">
      <c r="B133" s="187" t="s">
        <v>11</v>
      </c>
      <c r="C133" s="189" t="s">
        <v>3</v>
      </c>
      <c r="D133" s="189" t="s">
        <v>1</v>
      </c>
      <c r="E133" s="189" t="s">
        <v>0</v>
      </c>
      <c r="F133" s="200" t="s">
        <v>12</v>
      </c>
      <c r="G133" s="200" t="s">
        <v>13</v>
      </c>
      <c r="H133" s="200" t="s">
        <v>2</v>
      </c>
      <c r="I133" s="200" t="s">
        <v>14</v>
      </c>
      <c r="J133" s="189" t="s">
        <v>15</v>
      </c>
      <c r="K133" s="200" t="s">
        <v>17</v>
      </c>
    </row>
    <row r="134" spans="2:11" ht="15">
      <c r="B134" s="203" t="s">
        <v>1122</v>
      </c>
      <c r="C134" s="210" t="s">
        <v>1123</v>
      </c>
      <c r="D134" s="222" t="s">
        <v>893</v>
      </c>
      <c r="E134" s="190" t="s">
        <v>1124</v>
      </c>
      <c r="F134" s="217">
        <v>10</v>
      </c>
      <c r="G134" s="217">
        <v>14</v>
      </c>
      <c r="H134" s="197">
        <v>0.58333333333333337</v>
      </c>
      <c r="I134" s="217">
        <v>0</v>
      </c>
      <c r="J134" s="217">
        <v>24</v>
      </c>
      <c r="K134" s="204" t="s">
        <v>889</v>
      </c>
    </row>
    <row r="135" spans="2:11" ht="15">
      <c r="B135" s="202" t="s">
        <v>1125</v>
      </c>
      <c r="C135" s="265" t="s">
        <v>1123</v>
      </c>
      <c r="D135" s="268" t="s">
        <v>893</v>
      </c>
      <c r="E135" s="260" t="s">
        <v>1126</v>
      </c>
      <c r="F135" s="267">
        <v>10</v>
      </c>
      <c r="G135" s="267">
        <v>14</v>
      </c>
      <c r="H135" s="266">
        <v>0.58333333333333337</v>
      </c>
      <c r="I135" s="267">
        <v>0</v>
      </c>
      <c r="J135" s="267">
        <v>24</v>
      </c>
      <c r="K135" s="228" t="s">
        <v>889</v>
      </c>
    </row>
    <row r="136" spans="2:11" ht="15">
      <c r="B136" s="202" t="s">
        <v>1127</v>
      </c>
      <c r="C136" s="265" t="s">
        <v>1128</v>
      </c>
      <c r="D136" s="268" t="s">
        <v>893</v>
      </c>
      <c r="E136" s="259" t="s">
        <v>1129</v>
      </c>
      <c r="F136" s="267">
        <v>37</v>
      </c>
      <c r="G136" s="267">
        <v>75</v>
      </c>
      <c r="H136" s="266">
        <v>0</v>
      </c>
      <c r="I136" s="267">
        <v>0</v>
      </c>
      <c r="J136" s="267">
        <v>112</v>
      </c>
      <c r="K136" s="228" t="s">
        <v>895</v>
      </c>
    </row>
    <row r="137" spans="2:11" ht="15.75" thickBot="1">
      <c r="B137" s="207" t="s">
        <v>1130</v>
      </c>
      <c r="C137" s="213" t="s">
        <v>1128</v>
      </c>
      <c r="D137" s="225" t="s">
        <v>893</v>
      </c>
      <c r="E137" s="214" t="s">
        <v>1131</v>
      </c>
      <c r="F137" s="231">
        <v>37</v>
      </c>
      <c r="G137" s="231">
        <v>75</v>
      </c>
      <c r="H137" s="226">
        <v>0</v>
      </c>
      <c r="I137" s="231">
        <v>0</v>
      </c>
      <c r="J137" s="231">
        <v>112</v>
      </c>
      <c r="K137" s="227" t="s">
        <v>895</v>
      </c>
    </row>
    <row r="139" spans="2:11" ht="13.5" thickBot="1"/>
    <row r="140" spans="2:11" ht="21" thickBot="1">
      <c r="B140" s="244" t="s">
        <v>1157</v>
      </c>
      <c r="C140" s="218"/>
      <c r="D140" s="218"/>
      <c r="E140" s="218"/>
      <c r="F140" s="218"/>
      <c r="G140" s="218"/>
      <c r="H140" s="218"/>
      <c r="I140" s="218"/>
      <c r="J140" s="218"/>
      <c r="K140" s="219"/>
    </row>
    <row r="141" spans="2:11" ht="21.75" thickTop="1" thickBot="1">
      <c r="B141" s="174" t="s">
        <v>70</v>
      </c>
      <c r="C141" s="175"/>
      <c r="D141" s="175"/>
      <c r="E141" s="165"/>
      <c r="F141" s="176" t="s">
        <v>4</v>
      </c>
      <c r="G141" s="177"/>
      <c r="H141" s="177"/>
      <c r="I141" s="177"/>
      <c r="J141" s="178"/>
      <c r="K141" s="200" t="s">
        <v>17</v>
      </c>
    </row>
    <row r="142" spans="2:11" ht="15">
      <c r="B142" s="203" t="s">
        <v>1132</v>
      </c>
      <c r="C142" s="210" t="s">
        <v>1123</v>
      </c>
      <c r="D142" s="222" t="s">
        <v>893</v>
      </c>
      <c r="E142" s="190" t="s">
        <v>1133</v>
      </c>
      <c r="F142" s="217">
        <v>10</v>
      </c>
      <c r="G142" s="217">
        <v>14</v>
      </c>
      <c r="H142" s="197">
        <v>0.58333333333333337</v>
      </c>
      <c r="I142" s="217">
        <v>0</v>
      </c>
      <c r="J142" s="217">
        <v>24</v>
      </c>
      <c r="K142" s="204" t="s">
        <v>889</v>
      </c>
    </row>
    <row r="143" spans="2:11" ht="15">
      <c r="B143" s="202" t="s">
        <v>1134</v>
      </c>
      <c r="C143" s="272" t="s">
        <v>1123</v>
      </c>
      <c r="D143" s="275" t="s">
        <v>893</v>
      </c>
      <c r="E143" s="271" t="s">
        <v>1135</v>
      </c>
      <c r="F143" s="274">
        <v>10</v>
      </c>
      <c r="G143" s="274">
        <v>14</v>
      </c>
      <c r="H143" s="273">
        <v>0.58333333333333337</v>
      </c>
      <c r="I143" s="274">
        <v>0</v>
      </c>
      <c r="J143" s="274">
        <v>24</v>
      </c>
      <c r="K143" s="228" t="s">
        <v>889</v>
      </c>
    </row>
    <row r="144" spans="2:11" ht="15">
      <c r="B144" s="202" t="s">
        <v>1136</v>
      </c>
      <c r="C144" s="272" t="s">
        <v>1128</v>
      </c>
      <c r="D144" s="275" t="s">
        <v>893</v>
      </c>
      <c r="E144" s="270" t="s">
        <v>1137</v>
      </c>
      <c r="F144" s="274">
        <v>35</v>
      </c>
      <c r="G144" s="274">
        <v>77</v>
      </c>
      <c r="H144" s="273">
        <v>0</v>
      </c>
      <c r="I144" s="274">
        <v>0</v>
      </c>
      <c r="J144" s="274">
        <v>112</v>
      </c>
      <c r="K144" s="228" t="s">
        <v>895</v>
      </c>
    </row>
    <row r="145" spans="2:11" ht="15.75" thickBot="1">
      <c r="B145" s="207" t="s">
        <v>1138</v>
      </c>
      <c r="C145" s="213" t="s">
        <v>1128</v>
      </c>
      <c r="D145" s="225" t="s">
        <v>893</v>
      </c>
      <c r="E145" s="214" t="s">
        <v>1139</v>
      </c>
      <c r="F145" s="231">
        <v>35</v>
      </c>
      <c r="G145" s="282">
        <v>77</v>
      </c>
      <c r="H145" s="226">
        <v>0</v>
      </c>
      <c r="I145" s="231">
        <v>0</v>
      </c>
      <c r="J145" s="231">
        <v>112</v>
      </c>
      <c r="K145" s="227" t="s">
        <v>895</v>
      </c>
    </row>
    <row r="147" spans="2:11" ht="13.5" thickBot="1"/>
    <row r="148" spans="2:11" ht="21" thickBot="1">
      <c r="B148" s="244" t="s">
        <v>1151</v>
      </c>
      <c r="C148" s="218"/>
      <c r="D148" s="218"/>
      <c r="E148" s="218"/>
      <c r="F148" s="218"/>
      <c r="G148" s="218"/>
      <c r="H148" s="218"/>
      <c r="I148" s="218"/>
      <c r="J148" s="218"/>
      <c r="K148" s="219"/>
    </row>
    <row r="149" spans="2:11" ht="21.75" thickTop="1" thickBot="1">
      <c r="B149" s="174" t="s">
        <v>70</v>
      </c>
      <c r="C149" s="175"/>
      <c r="D149" s="175"/>
      <c r="E149" s="165"/>
      <c r="F149" s="176" t="s">
        <v>4</v>
      </c>
      <c r="G149" s="177"/>
      <c r="H149" s="177"/>
      <c r="I149" s="177"/>
      <c r="J149" s="178"/>
      <c r="K149" s="200" t="s">
        <v>17</v>
      </c>
    </row>
    <row r="150" spans="2:11" ht="15">
      <c r="B150" s="203" t="s">
        <v>1140</v>
      </c>
      <c r="C150" s="222" t="s">
        <v>71</v>
      </c>
      <c r="D150" s="222" t="s">
        <v>887</v>
      </c>
      <c r="E150" s="247" t="s">
        <v>1141</v>
      </c>
      <c r="F150" s="217">
        <v>18</v>
      </c>
      <c r="G150" s="217">
        <v>30</v>
      </c>
      <c r="H150" s="197">
        <v>0.625</v>
      </c>
      <c r="I150" s="217">
        <v>0</v>
      </c>
      <c r="J150" s="217">
        <v>48</v>
      </c>
      <c r="K150" s="204" t="s">
        <v>889</v>
      </c>
    </row>
    <row r="151" spans="2:11" ht="15">
      <c r="B151" s="202" t="s">
        <v>1142</v>
      </c>
      <c r="C151" s="279" t="s">
        <v>71</v>
      </c>
      <c r="D151" s="279" t="s">
        <v>887</v>
      </c>
      <c r="E151" s="276" t="s">
        <v>1143</v>
      </c>
      <c r="F151" s="278">
        <v>17</v>
      </c>
      <c r="G151" s="278">
        <v>31</v>
      </c>
      <c r="H151" s="277">
        <v>0.64583333333333337</v>
      </c>
      <c r="I151" s="278">
        <v>0</v>
      </c>
      <c r="J151" s="278">
        <v>48</v>
      </c>
      <c r="K151" s="228" t="s">
        <v>889</v>
      </c>
    </row>
    <row r="152" spans="2:11" ht="15">
      <c r="B152" s="202" t="s">
        <v>1144</v>
      </c>
      <c r="C152" s="279" t="s">
        <v>79</v>
      </c>
      <c r="D152" s="279" t="s">
        <v>912</v>
      </c>
      <c r="E152" s="276" t="s">
        <v>1145</v>
      </c>
      <c r="F152" s="278">
        <v>16</v>
      </c>
      <c r="G152" s="278">
        <v>38</v>
      </c>
      <c r="H152" s="277">
        <v>0.70370370370370372</v>
      </c>
      <c r="I152" s="278">
        <v>0</v>
      </c>
      <c r="J152" s="278">
        <v>54</v>
      </c>
      <c r="K152" s="228" t="s">
        <v>914</v>
      </c>
    </row>
    <row r="153" spans="2:11" ht="15.75" thickBot="1">
      <c r="B153" s="207" t="s">
        <v>1146</v>
      </c>
      <c r="C153" s="225" t="s">
        <v>79</v>
      </c>
      <c r="D153" s="225" t="s">
        <v>912</v>
      </c>
      <c r="E153" s="215" t="s">
        <v>1147</v>
      </c>
      <c r="F153" s="231">
        <v>16</v>
      </c>
      <c r="G153" s="231">
        <v>38</v>
      </c>
      <c r="H153" s="226">
        <v>0.70370370370370372</v>
      </c>
      <c r="I153" s="231">
        <v>0</v>
      </c>
      <c r="J153" s="231">
        <v>54</v>
      </c>
      <c r="K153" s="227" t="s">
        <v>914</v>
      </c>
    </row>
  </sheetData>
  <mergeCells count="23">
    <mergeCell ref="B141:D141"/>
    <mergeCell ref="F141:J141"/>
    <mergeCell ref="B148:K148"/>
    <mergeCell ref="B149:D149"/>
    <mergeCell ref="F149:J149"/>
    <mergeCell ref="B65:D65"/>
    <mergeCell ref="F65:J65"/>
    <mergeCell ref="B90:K90"/>
    <mergeCell ref="B91:D91"/>
    <mergeCell ref="F91:J91"/>
    <mergeCell ref="B17:D17"/>
    <mergeCell ref="F17:J17"/>
    <mergeCell ref="B28:K28"/>
    <mergeCell ref="B29:D29"/>
    <mergeCell ref="F29:J29"/>
    <mergeCell ref="B131:K131"/>
    <mergeCell ref="B132:D132"/>
    <mergeCell ref="F132:J132"/>
    <mergeCell ref="B140:K140"/>
    <mergeCell ref="B1:K1"/>
    <mergeCell ref="B2:K2"/>
    <mergeCell ref="B3:D3"/>
    <mergeCell ref="F3:J3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zoomScaleNormal="100" workbookViewId="0">
      <pane ySplit="4" topLeftCell="A5" activePane="bottomLeft" state="frozen"/>
      <selection pane="bottomLeft" activeCell="J8" sqref="J8"/>
    </sheetView>
  </sheetViews>
  <sheetFormatPr defaultRowHeight="12.75"/>
  <cols>
    <col min="1" max="1" width="27.5703125" style="20" bestFit="1" customWidth="1"/>
    <col min="2" max="2" width="28.42578125" customWidth="1"/>
    <col min="3" max="7" width="8.7109375" customWidth="1"/>
  </cols>
  <sheetData>
    <row r="1" spans="1:7" s="83" customFormat="1" ht="24" customHeight="1" thickTop="1" thickBot="1">
      <c r="A1" s="168" t="s">
        <v>1160</v>
      </c>
      <c r="B1" s="182"/>
      <c r="C1" s="182"/>
      <c r="D1" s="182"/>
      <c r="E1" s="182"/>
      <c r="F1" s="182"/>
      <c r="G1" s="183"/>
    </row>
    <row r="2" spans="1:7" s="83" customFormat="1" ht="52.5" customHeight="1" thickTop="1" thickBot="1">
      <c r="A2" s="172" t="s">
        <v>523</v>
      </c>
      <c r="B2" s="170"/>
      <c r="C2" s="170"/>
      <c r="D2" s="170"/>
      <c r="E2" s="170"/>
      <c r="F2" s="170"/>
      <c r="G2" s="171"/>
    </row>
    <row r="3" spans="1:7" s="38" customFormat="1" ht="27" thickTop="1" thickBot="1">
      <c r="A3" s="44" t="s">
        <v>7</v>
      </c>
      <c r="B3" s="45" t="s">
        <v>28</v>
      </c>
      <c r="C3" s="45" t="s">
        <v>29</v>
      </c>
      <c r="D3" s="45" t="s">
        <v>12</v>
      </c>
      <c r="E3" s="45" t="s">
        <v>13</v>
      </c>
      <c r="F3" s="45" t="s">
        <v>27</v>
      </c>
      <c r="G3" s="46" t="s">
        <v>449</v>
      </c>
    </row>
    <row r="4" spans="1:7" ht="14.25" thickTop="1" thickBot="1">
      <c r="A4" s="184" t="s">
        <v>9</v>
      </c>
      <c r="B4" s="185"/>
      <c r="C4" s="19">
        <f>SUMIF($A$5:$A$36,"Total Site",$C$5:$C$36)</f>
        <v>20822</v>
      </c>
      <c r="D4" s="19">
        <f>SUMIF($A$5:$A$36,"Total Site",$D$5:$D$36)</f>
        <v>11928</v>
      </c>
      <c r="E4" s="19">
        <f>SUMIF($A$5:$A$36,"Total Site",$E$5:$E$36)</f>
        <v>8894</v>
      </c>
      <c r="F4" s="47">
        <f>E4/(D4+E4)</f>
        <v>0.42714436653539528</v>
      </c>
      <c r="G4" s="25">
        <f>SUMIF($A$5:$A$36,"Total Site",$G$5:$G$36)</f>
        <v>124</v>
      </c>
    </row>
    <row r="5" spans="1:7" ht="13.5" thickTop="1">
      <c r="A5" s="39" t="s">
        <v>1153</v>
      </c>
      <c r="B5" s="280" t="s">
        <v>889</v>
      </c>
      <c r="C5" s="13">
        <f t="shared" ref="C5:C11" si="0">SUM(D5:E5)</f>
        <v>96</v>
      </c>
      <c r="D5" s="13">
        <f>SUMIF('SAN Switch Inventory EMEA'!K5:K25,B5,'SAN Switch Inventory EMEA'!F5:F25)</f>
        <v>32</v>
      </c>
      <c r="E5" s="13">
        <f>SUMIF('SAN Switch Inventory EMEA'!K5:K25,B5,'SAN Switch Inventory EMEA'!G5:G25)</f>
        <v>64</v>
      </c>
      <c r="F5" s="40">
        <f t="shared" ref="F5:F12" si="1">E5/(D5+E5)</f>
        <v>0.66666666666666663</v>
      </c>
      <c r="G5" s="18">
        <f>COUNTIF('SAN Switch Inventory EMEA'!K5:K25,B5)</f>
        <v>2</v>
      </c>
    </row>
    <row r="6" spans="1:7">
      <c r="A6" s="39" t="s">
        <v>1153</v>
      </c>
      <c r="B6" s="280" t="s">
        <v>895</v>
      </c>
      <c r="C6" s="13">
        <f t="shared" si="0"/>
        <v>408</v>
      </c>
      <c r="D6" s="13">
        <f>SUMIF('SAN Switch Inventory EMEA'!K5:K25,B6,'SAN Switch Inventory EMEA'!F5:F25)</f>
        <v>130</v>
      </c>
      <c r="E6" s="13">
        <f>SUMIF('SAN Switch Inventory EMEA'!K5:K25,B6,'SAN Switch Inventory EMEA'!G5:G25)</f>
        <v>278</v>
      </c>
      <c r="F6" s="40">
        <f t="shared" si="1"/>
        <v>0.68137254901960786</v>
      </c>
      <c r="G6" s="18">
        <f>COUNTIF('SAN Switch Inventory EMEA'!K5:K25,B6)</f>
        <v>2</v>
      </c>
    </row>
    <row r="7" spans="1:7">
      <c r="A7" s="39" t="s">
        <v>1153</v>
      </c>
      <c r="B7" s="280" t="s">
        <v>900</v>
      </c>
      <c r="C7" s="13">
        <f t="shared" si="0"/>
        <v>1296</v>
      </c>
      <c r="D7" s="13">
        <f>SUMIF('SAN Switch Inventory EMEA'!K5:K25,B7,'SAN Switch Inventory EMEA'!F5:F25)</f>
        <v>471</v>
      </c>
      <c r="E7" s="13">
        <f>SUMIF('SAN Switch Inventory EMEA'!K5:K25,B7,'SAN Switch Inventory EMEA'!G5:G25)</f>
        <v>825</v>
      </c>
      <c r="F7" s="40">
        <f t="shared" si="1"/>
        <v>0.63657407407407407</v>
      </c>
      <c r="G7" s="18">
        <f>COUNTIF('SAN Switch Inventory EMEA'!K5:K25,B7)</f>
        <v>6</v>
      </c>
    </row>
    <row r="8" spans="1:7">
      <c r="A8" s="39" t="s">
        <v>1153</v>
      </c>
      <c r="B8" s="280" t="s">
        <v>914</v>
      </c>
      <c r="C8" s="13">
        <f t="shared" si="0"/>
        <v>144</v>
      </c>
      <c r="D8" s="13">
        <f>SUMIF('SAN Switch Inventory EMEA'!K5:K25,B8,'SAN Switch Inventory EMEA'!F5:F25)</f>
        <v>28</v>
      </c>
      <c r="E8" s="13">
        <f>SUMIF('SAN Switch Inventory EMEA'!K5:K25,B8,'SAN Switch Inventory EMEA'!G5:G25)</f>
        <v>116</v>
      </c>
      <c r="F8" s="40">
        <f t="shared" si="1"/>
        <v>0.80555555555555558</v>
      </c>
      <c r="G8" s="18">
        <f>COUNTIF('SAN Switch Inventory EMEA'!K5:K25,B8)</f>
        <v>2</v>
      </c>
    </row>
    <row r="9" spans="1:7">
      <c r="A9" s="39" t="s">
        <v>1153</v>
      </c>
      <c r="B9" s="281" t="s">
        <v>920</v>
      </c>
      <c r="C9" s="13">
        <f t="shared" si="0"/>
        <v>235</v>
      </c>
      <c r="D9" s="13">
        <f>SUMIF('SAN Switch Inventory EMEA'!K5:K25,B9,'SAN Switch Inventory EMEA'!F5:F25)</f>
        <v>72</v>
      </c>
      <c r="E9" s="13">
        <f>SUMIF('SAN Switch Inventory EMEA'!K5:K25,B9,'SAN Switch Inventory EMEA'!G5:G25)</f>
        <v>163</v>
      </c>
      <c r="F9" s="40">
        <f t="shared" si="1"/>
        <v>0.69361702127659575</v>
      </c>
      <c r="G9" s="18">
        <f>COUNTIF('SAN Switch Inventory EMEA'!K5:K25,B9)</f>
        <v>2</v>
      </c>
    </row>
    <row r="10" spans="1:7">
      <c r="A10" s="39" t="s">
        <v>1153</v>
      </c>
      <c r="B10" s="280" t="s">
        <v>925</v>
      </c>
      <c r="C10" s="13">
        <f t="shared" si="0"/>
        <v>279</v>
      </c>
      <c r="D10" s="13">
        <f>SUMIF('SAN Switch Inventory EMEA'!K5:K25,B10,'SAN Switch Inventory EMEA'!F5:F25)</f>
        <v>52</v>
      </c>
      <c r="E10" s="13">
        <f>SUMIF('SAN Switch Inventory EMEA'!K5:K25,B10,'SAN Switch Inventory EMEA'!G5:G25)</f>
        <v>227</v>
      </c>
      <c r="F10" s="40">
        <f t="shared" si="1"/>
        <v>0.81362007168458783</v>
      </c>
      <c r="G10" s="18">
        <f>COUNTIF('SAN Switch Inventory EMEA'!K5:K25,B10)</f>
        <v>2</v>
      </c>
    </row>
    <row r="11" spans="1:7">
      <c r="A11" s="39" t="s">
        <v>1153</v>
      </c>
      <c r="B11" s="280" t="s">
        <v>931</v>
      </c>
      <c r="C11" s="13">
        <f t="shared" si="0"/>
        <v>144</v>
      </c>
      <c r="D11" s="13">
        <f>SUMIF('SAN Switch Inventory EMEA'!K5:K25,B11,'SAN Switch Inventory EMEA'!F5:F25)</f>
        <v>65</v>
      </c>
      <c r="E11" s="13">
        <f>SUMIF('SAN Switch Inventory EMEA'!K5:K25,B11,'SAN Switch Inventory EMEA'!G5:G25)</f>
        <v>79</v>
      </c>
      <c r="F11" s="40">
        <f t="shared" si="1"/>
        <v>0.54861111111111116</v>
      </c>
      <c r="G11" s="18">
        <f>COUNTIF('SAN Switch Inventory EMEA'!K5:K25,B11)</f>
        <v>4</v>
      </c>
    </row>
    <row r="12" spans="1:7" ht="13.5" thickBot="1">
      <c r="A12" s="41" t="s">
        <v>30</v>
      </c>
      <c r="B12" s="27"/>
      <c r="C12" s="42">
        <f>SUM(C5:C11)</f>
        <v>2602</v>
      </c>
      <c r="D12" s="42">
        <f>SUM(D5:D11)</f>
        <v>850</v>
      </c>
      <c r="E12" s="42">
        <f>SUM(E5:E11)</f>
        <v>1752</v>
      </c>
      <c r="F12" s="283">
        <f t="shared" si="1"/>
        <v>0.67332820906994617</v>
      </c>
      <c r="G12" s="42">
        <f>SUM(G5:G11)</f>
        <v>20</v>
      </c>
    </row>
    <row r="13" spans="1:7" ht="13.5" thickTop="1">
      <c r="A13" s="43" t="s">
        <v>1152</v>
      </c>
      <c r="B13" s="284" t="s">
        <v>889</v>
      </c>
      <c r="C13" s="13">
        <f t="shared" ref="C13:C19" si="2">SUM(D13:E13)</f>
        <v>264</v>
      </c>
      <c r="D13" s="13">
        <f>SUMIF('SAN Switch Inventory EMEA'!K31:K87,B13,'SAN Switch Inventory EMEA'!F31:F87)</f>
        <v>217</v>
      </c>
      <c r="E13" s="13">
        <f>SUMIF('SAN Switch Inventory EMEA'!K31:K87,B13,'SAN Switch Inventory EMEA'!G31:G87)</f>
        <v>47</v>
      </c>
      <c r="F13" s="40">
        <f t="shared" ref="F13:F20" si="3">E13/(D13+E13)</f>
        <v>0.17803030303030304</v>
      </c>
      <c r="G13" s="18">
        <f>COUNTIF('SAN Switch Inventory EMEA'!K31:K87,B13)</f>
        <v>2</v>
      </c>
    </row>
    <row r="14" spans="1:7">
      <c r="A14" s="43" t="s">
        <v>1152</v>
      </c>
      <c r="B14" s="284" t="s">
        <v>895</v>
      </c>
      <c r="C14" s="13">
        <f t="shared" si="2"/>
        <v>1752</v>
      </c>
      <c r="D14" s="13">
        <f>SUMIF('SAN Switch Inventory EMEA'!K31:K87,B14,'SAN Switch Inventory EMEA'!F31:F87)</f>
        <v>882</v>
      </c>
      <c r="E14" s="13">
        <f>SUMIF('SAN Switch Inventory EMEA'!K31:K87,B14,'SAN Switch Inventory EMEA'!G31:G87)</f>
        <v>870</v>
      </c>
      <c r="F14" s="40">
        <f t="shared" si="3"/>
        <v>0.49657534246575341</v>
      </c>
      <c r="G14" s="18">
        <f>COUNTIF('SAN Switch Inventory EMEA'!K31:K87,B14)</f>
        <v>8</v>
      </c>
    </row>
    <row r="15" spans="1:7">
      <c r="A15" s="43" t="s">
        <v>1152</v>
      </c>
      <c r="B15" s="284" t="s">
        <v>900</v>
      </c>
      <c r="C15" s="13">
        <f t="shared" si="2"/>
        <v>5056</v>
      </c>
      <c r="D15" s="13">
        <f>SUMIF('SAN Switch Inventory EMEA'!K31:K87,B15,'SAN Switch Inventory EMEA'!F31:F87)</f>
        <v>3465</v>
      </c>
      <c r="E15" s="13">
        <f>SUMIF('SAN Switch Inventory EMEA'!K31:K87,B15,'SAN Switch Inventory EMEA'!G31:G87)</f>
        <v>1591</v>
      </c>
      <c r="F15" s="40">
        <f t="shared" si="3"/>
        <v>0.31467563291139239</v>
      </c>
      <c r="G15" s="18">
        <f>COUNTIF('SAN Switch Inventory EMEA'!K31:K87,B15)</f>
        <v>22</v>
      </c>
    </row>
    <row r="16" spans="1:7">
      <c r="A16" s="43" t="s">
        <v>1152</v>
      </c>
      <c r="B16" s="284" t="s">
        <v>914</v>
      </c>
      <c r="C16" s="13">
        <f t="shared" si="2"/>
        <v>360</v>
      </c>
      <c r="D16" s="13">
        <f>SUMIF('SAN Switch Inventory EMEA'!K31:K87,B16,'SAN Switch Inventory EMEA'!F31:F87)</f>
        <v>127</v>
      </c>
      <c r="E16" s="13">
        <f>SUMIF('SAN Switch Inventory EMEA'!K31:K87,B16,'SAN Switch Inventory EMEA'!G31:G87)</f>
        <v>233</v>
      </c>
      <c r="F16" s="40">
        <f t="shared" si="3"/>
        <v>0.64722222222222225</v>
      </c>
      <c r="G16" s="18">
        <f>COUNTIF('SAN Switch Inventory EMEA'!K31:K87,B16)</f>
        <v>2</v>
      </c>
    </row>
    <row r="17" spans="1:7">
      <c r="A17" s="43" t="s">
        <v>1152</v>
      </c>
      <c r="B17" s="285" t="s">
        <v>920</v>
      </c>
      <c r="C17" s="13">
        <f t="shared" si="2"/>
        <v>752</v>
      </c>
      <c r="D17" s="13">
        <f>SUMIF('SAN Switch Inventory EMEA'!K31:K87,B17,'SAN Switch Inventory EMEA'!F31:F87)</f>
        <v>546</v>
      </c>
      <c r="E17" s="13">
        <f>SUMIF('SAN Switch Inventory EMEA'!K31:K87,B17,'SAN Switch Inventory EMEA'!G31:G87)</f>
        <v>206</v>
      </c>
      <c r="F17" s="40">
        <f t="shared" si="3"/>
        <v>0.27393617021276595</v>
      </c>
      <c r="G17" s="18">
        <f>COUNTIF('SAN Switch Inventory EMEA'!K31:K87,B17)</f>
        <v>6</v>
      </c>
    </row>
    <row r="18" spans="1:7">
      <c r="A18" s="43" t="s">
        <v>1152</v>
      </c>
      <c r="B18" s="284" t="s">
        <v>925</v>
      </c>
      <c r="C18" s="13">
        <f t="shared" si="2"/>
        <v>1464</v>
      </c>
      <c r="D18" s="13">
        <f>SUMIF('SAN Switch Inventory EMEA'!K31:K87,B18,'SAN Switch Inventory EMEA'!F31:F87)</f>
        <v>370</v>
      </c>
      <c r="E18" s="13">
        <f>SUMIF('SAN Switch Inventory EMEA'!K31:K87,B18,'SAN Switch Inventory EMEA'!G31:G87)</f>
        <v>1094</v>
      </c>
      <c r="F18" s="40">
        <f t="shared" si="3"/>
        <v>0.74726775956284153</v>
      </c>
      <c r="G18" s="18">
        <f>COUNTIF('SAN Switch Inventory EMEA'!K31:K87,B18)</f>
        <v>12</v>
      </c>
    </row>
    <row r="19" spans="1:7">
      <c r="A19" s="43" t="s">
        <v>1152</v>
      </c>
      <c r="B19" s="284" t="s">
        <v>931</v>
      </c>
      <c r="C19" s="13">
        <f t="shared" si="2"/>
        <v>144</v>
      </c>
      <c r="D19" s="13">
        <f>SUMIF('SAN Switch Inventory EMEA'!K31:K87,B19,'SAN Switch Inventory EMEA'!F31:F87)</f>
        <v>52</v>
      </c>
      <c r="E19" s="13">
        <f>SUMIF('SAN Switch Inventory EMEA'!K31:K87,B19,'SAN Switch Inventory EMEA'!G31:G87)</f>
        <v>92</v>
      </c>
      <c r="F19" s="40">
        <f t="shared" si="3"/>
        <v>0.63888888888888884</v>
      </c>
      <c r="G19" s="18">
        <f>COUNTIF('SAN Switch Inventory EMEA'!K31:K87,B19)</f>
        <v>4</v>
      </c>
    </row>
    <row r="20" spans="1:7" ht="13.5" thickBot="1">
      <c r="A20" s="41" t="s">
        <v>30</v>
      </c>
      <c r="B20" s="27"/>
      <c r="C20" s="42">
        <f>SUM(C13:C19)</f>
        <v>9792</v>
      </c>
      <c r="D20" s="42">
        <f>SUM(D13:D19)</f>
        <v>5659</v>
      </c>
      <c r="E20" s="42">
        <f>SUM(E13:E19)</f>
        <v>4133</v>
      </c>
      <c r="F20" s="283">
        <f t="shared" si="3"/>
        <v>0.42207924836601307</v>
      </c>
      <c r="G20" s="29">
        <f>SUM(G13:G19)</f>
        <v>56</v>
      </c>
    </row>
    <row r="21" spans="1:7" ht="13.5" thickTop="1">
      <c r="A21" s="43" t="s">
        <v>1154</v>
      </c>
      <c r="B21" s="284" t="s">
        <v>889</v>
      </c>
      <c r="C21" s="13">
        <f t="shared" ref="C21:C24" si="4">SUM(D21:E21)</f>
        <v>240</v>
      </c>
      <c r="D21" s="13">
        <f>SUMIF('SAN Switch Inventory EMEA'!K93:K128,B21,'SAN Switch Inventory EMEA'!F93:F128)</f>
        <v>202</v>
      </c>
      <c r="E21" s="13">
        <f>SUMIF('SAN Switch Inventory EMEA'!K93:K128,B21,'SAN Switch Inventory EMEA'!G93:G128)</f>
        <v>38</v>
      </c>
      <c r="F21" s="40">
        <f t="shared" ref="F21:F25" si="5">E21/(D21+E21)</f>
        <v>0.15833333333333333</v>
      </c>
      <c r="G21" s="18">
        <f>COUNTIF('SAN Switch Inventory EMEA'!K93:K128,B21)</f>
        <v>2</v>
      </c>
    </row>
    <row r="22" spans="1:7">
      <c r="A22" s="43" t="s">
        <v>1154</v>
      </c>
      <c r="B22" s="284" t="s">
        <v>895</v>
      </c>
      <c r="C22" s="13">
        <f t="shared" si="4"/>
        <v>1832</v>
      </c>
      <c r="D22" s="13">
        <f>SUMIF('SAN Switch Inventory EMEA'!K93:K128,B22,'SAN Switch Inventory EMEA'!F93:F128)</f>
        <v>1161</v>
      </c>
      <c r="E22" s="13">
        <f>SUMIF('SAN Switch Inventory EMEA'!K93:K128,B22,'SAN Switch Inventory EMEA'!G93:G128)</f>
        <v>671</v>
      </c>
      <c r="F22" s="40">
        <f t="shared" si="5"/>
        <v>0.36626637554585151</v>
      </c>
      <c r="G22" s="18">
        <f>COUNTIF('SAN Switch Inventory EMEA'!K93:K128,B22)</f>
        <v>10</v>
      </c>
    </row>
    <row r="23" spans="1:7">
      <c r="A23" s="43" t="s">
        <v>1154</v>
      </c>
      <c r="B23" s="284" t="s">
        <v>900</v>
      </c>
      <c r="C23" s="13">
        <f t="shared" si="4"/>
        <v>5248</v>
      </c>
      <c r="D23" s="13">
        <f>SUMIF('SAN Switch Inventory EMEA'!K93:K128,B23,'SAN Switch Inventory EMEA'!F93:F128)</f>
        <v>3684</v>
      </c>
      <c r="E23" s="13">
        <f>SUMIF('SAN Switch Inventory EMEA'!K93:K128,B23,'SAN Switch Inventory EMEA'!G93:G128)</f>
        <v>1564</v>
      </c>
      <c r="F23" s="40">
        <f t="shared" si="5"/>
        <v>0.29801829268292684</v>
      </c>
      <c r="G23" s="18">
        <f>COUNTIF('SAN Switch Inventory EMEA'!K93:K128,B23)</f>
        <v>22</v>
      </c>
    </row>
    <row r="24" spans="1:7">
      <c r="A24" s="43" t="s">
        <v>1154</v>
      </c>
      <c r="B24" s="284" t="s">
        <v>914</v>
      </c>
      <c r="C24" s="13">
        <f t="shared" si="4"/>
        <v>360</v>
      </c>
      <c r="D24" s="13">
        <f>SUMIF('SAN Switch Inventory EMEA'!K93:K128,B24,'SAN Switch Inventory EMEA'!F93:F128)</f>
        <v>121</v>
      </c>
      <c r="E24" s="13">
        <f>SUMIF('SAN Switch Inventory EMEA'!K93:K128,B24,'SAN Switch Inventory EMEA'!G93:G128)</f>
        <v>239</v>
      </c>
      <c r="F24" s="40">
        <f t="shared" si="5"/>
        <v>0.66388888888888886</v>
      </c>
      <c r="G24" s="18">
        <f>COUNTIF('SAN Switch Inventory EMEA'!K93:K128,B24)</f>
        <v>2</v>
      </c>
    </row>
    <row r="25" spans="1:7" ht="13.5" thickBot="1">
      <c r="A25" s="41" t="s">
        <v>30</v>
      </c>
      <c r="B25" s="27"/>
      <c r="C25" s="42">
        <f>SUM(C21:C24)</f>
        <v>7680</v>
      </c>
      <c r="D25" s="42">
        <f>SUM(D21:D24)</f>
        <v>5168</v>
      </c>
      <c r="E25" s="42">
        <f>SUM(E21:E24)</f>
        <v>2512</v>
      </c>
      <c r="F25" s="283">
        <f t="shared" si="5"/>
        <v>0.32708333333333334</v>
      </c>
      <c r="G25" s="29">
        <f>SUM(G21:G24)</f>
        <v>36</v>
      </c>
    </row>
    <row r="26" spans="1:7" ht="13.5" thickTop="1">
      <c r="A26" s="43" t="s">
        <v>1159</v>
      </c>
      <c r="B26" s="284" t="s">
        <v>889</v>
      </c>
      <c r="C26" s="13">
        <f t="shared" ref="C26:C27" si="6">SUM(D26:E26)</f>
        <v>96</v>
      </c>
      <c r="D26" s="13">
        <f>SUMIF('SAN Switch Inventory EMEA'!K150:K153,B26,'SAN Switch Inventory EMEA'!F150:F153)</f>
        <v>35</v>
      </c>
      <c r="E26" s="13">
        <f>SUMIF('SAN Switch Inventory EMEA'!K150:K153,B26,'SAN Switch Inventory EMEA'!G150:G153)</f>
        <v>61</v>
      </c>
      <c r="F26" s="40">
        <f t="shared" ref="F26:F28" si="7">E26/(D26+E26)</f>
        <v>0.63541666666666663</v>
      </c>
      <c r="G26" s="18">
        <f>COUNTIF('SAN Switch Inventory EMEA'!K150:K153,B26)</f>
        <v>2</v>
      </c>
    </row>
    <row r="27" spans="1:7">
      <c r="A27" s="43" t="s">
        <v>1159</v>
      </c>
      <c r="B27" s="284" t="s">
        <v>914</v>
      </c>
      <c r="C27" s="13">
        <f t="shared" si="6"/>
        <v>108</v>
      </c>
      <c r="D27" s="13">
        <f>SUMIF('SAN Switch Inventory EMEA'!K150:K153,B27,'SAN Switch Inventory EMEA'!F150:F153)</f>
        <v>32</v>
      </c>
      <c r="E27" s="13">
        <f>SUMIF('SAN Switch Inventory EMEA'!K150:K153,B27,'SAN Switch Inventory EMEA'!G150:G153)</f>
        <v>76</v>
      </c>
      <c r="F27" s="40">
        <f t="shared" si="7"/>
        <v>0.70370370370370372</v>
      </c>
      <c r="G27" s="18">
        <f>COUNTIF('SAN Switch Inventory EMEA'!K150:K153,B27)</f>
        <v>2</v>
      </c>
    </row>
    <row r="28" spans="1:7" ht="13.5" thickBot="1">
      <c r="A28" s="41" t="s">
        <v>30</v>
      </c>
      <c r="B28" s="27"/>
      <c r="C28" s="42">
        <f>SUM(C26:C27)</f>
        <v>204</v>
      </c>
      <c r="D28" s="42">
        <f>SUM(D26:D27)</f>
        <v>67</v>
      </c>
      <c r="E28" s="42">
        <f>SUM(E26:E27)</f>
        <v>137</v>
      </c>
      <c r="F28" s="283">
        <f t="shared" si="7"/>
        <v>0.67156862745098034</v>
      </c>
      <c r="G28" s="29">
        <f>SUM(G26:G27)</f>
        <v>4</v>
      </c>
    </row>
    <row r="29" spans="1:7" ht="13.5" thickTop="1">
      <c r="A29" s="43" t="s">
        <v>1155</v>
      </c>
      <c r="B29" s="284" t="s">
        <v>889</v>
      </c>
      <c r="C29" s="13">
        <f t="shared" ref="C29:C30" si="8">SUM(D29:E29)</f>
        <v>48</v>
      </c>
      <c r="D29" s="13">
        <f>SUMIF('SAN Switch Inventory EMEA'!K134:K137,B29,'SAN Switch Inventory EMEA'!F134:F137)</f>
        <v>20</v>
      </c>
      <c r="E29" s="13">
        <f>SUMIF('SAN Switch Inventory EMEA'!K134:K137,B29,'SAN Switch Inventory EMEA'!G134:G137)</f>
        <v>28</v>
      </c>
      <c r="F29" s="40">
        <f t="shared" ref="F29:F31" si="9">E29/(D29+E29)</f>
        <v>0.58333333333333337</v>
      </c>
      <c r="G29" s="18">
        <f>COUNTIF('SAN Switch Inventory EMEA'!K134:K137,B29)</f>
        <v>2</v>
      </c>
    </row>
    <row r="30" spans="1:7">
      <c r="A30" s="43" t="s">
        <v>1155</v>
      </c>
      <c r="B30" s="284" t="s">
        <v>895</v>
      </c>
      <c r="C30" s="13">
        <f t="shared" si="8"/>
        <v>224</v>
      </c>
      <c r="D30" s="13">
        <f>SUMIF('SAN Switch Inventory EMEA'!K134:K137,B30,'SAN Switch Inventory EMEA'!F134:F137)</f>
        <v>74</v>
      </c>
      <c r="E30" s="13">
        <f>SUMIF('SAN Switch Inventory EMEA'!K134:K137,B30,'SAN Switch Inventory EMEA'!G134:G137)</f>
        <v>150</v>
      </c>
      <c r="F30" s="40">
        <f t="shared" si="9"/>
        <v>0.6696428571428571</v>
      </c>
      <c r="G30" s="18">
        <f>COUNTIF('SAN Switch Inventory EMEA'!K134:K137,B30)</f>
        <v>2</v>
      </c>
    </row>
    <row r="31" spans="1:7" ht="13.5" thickBot="1">
      <c r="A31" s="41" t="s">
        <v>30</v>
      </c>
      <c r="B31" s="27"/>
      <c r="C31" s="42">
        <f>SUM(C29:C30)</f>
        <v>272</v>
      </c>
      <c r="D31" s="42">
        <f>SUM(D29:D30)</f>
        <v>94</v>
      </c>
      <c r="E31" s="42">
        <f>SUM(E29:E30)</f>
        <v>178</v>
      </c>
      <c r="F31" s="283">
        <f t="shared" si="9"/>
        <v>0.65441176470588236</v>
      </c>
      <c r="G31" s="29">
        <f>SUM(G29:G30)</f>
        <v>4</v>
      </c>
    </row>
    <row r="32" spans="1:7" ht="13.5" thickTop="1">
      <c r="A32" s="43" t="s">
        <v>1158</v>
      </c>
      <c r="B32" s="284" t="s">
        <v>889</v>
      </c>
      <c r="C32" s="13">
        <f t="shared" ref="C32:C33" si="10">SUM(D32:E32)</f>
        <v>48</v>
      </c>
      <c r="D32" s="13">
        <f>SUMIF('SAN Switch Inventory EMEA'!K142:K145,B32,'SAN Switch Inventory EMEA'!F142:F145)</f>
        <v>20</v>
      </c>
      <c r="E32" s="13">
        <f>SUMIF('SAN Switch Inventory EMEA'!K142:K145,B32,'SAN Switch Inventory EMEA'!G142:G145)</f>
        <v>28</v>
      </c>
      <c r="F32" s="40">
        <f t="shared" ref="F32:F34" si="11">E32/(D32+E32)</f>
        <v>0.58333333333333337</v>
      </c>
      <c r="G32" s="18">
        <f>COUNTIF('SAN Switch Inventory EMEA'!K142:K145,B32)</f>
        <v>2</v>
      </c>
    </row>
    <row r="33" spans="1:7">
      <c r="A33" s="43" t="s">
        <v>1158</v>
      </c>
      <c r="B33" s="284" t="s">
        <v>895</v>
      </c>
      <c r="C33" s="13">
        <f t="shared" si="10"/>
        <v>224</v>
      </c>
      <c r="D33" s="13">
        <f>SUMIF('SAN Switch Inventory EMEA'!K142:K145,B33,'SAN Switch Inventory EMEA'!F142:F145)</f>
        <v>70</v>
      </c>
      <c r="E33" s="13">
        <f>SUMIF('SAN Switch Inventory EMEA'!K142:K145,B33,'SAN Switch Inventory EMEA'!G142:G145)</f>
        <v>154</v>
      </c>
      <c r="F33" s="40">
        <f t="shared" si="11"/>
        <v>0.6875</v>
      </c>
      <c r="G33" s="18">
        <f>COUNTIF('SAN Switch Inventory EMEA'!K142:K145,B33)</f>
        <v>2</v>
      </c>
    </row>
    <row r="34" spans="1:7" ht="13.5" thickBot="1">
      <c r="A34" s="41" t="s">
        <v>30</v>
      </c>
      <c r="B34" s="27"/>
      <c r="C34" s="42">
        <f>SUM(C32:C33)</f>
        <v>272</v>
      </c>
      <c r="D34" s="42">
        <f>SUM(D32:D33)</f>
        <v>90</v>
      </c>
      <c r="E34" s="42">
        <f>SUM(E32:E33)</f>
        <v>182</v>
      </c>
      <c r="F34" s="283">
        <f t="shared" si="11"/>
        <v>0.66911764705882348</v>
      </c>
      <c r="G34" s="29">
        <f>SUM(G32:G33)</f>
        <v>4</v>
      </c>
    </row>
    <row r="35" spans="1:7" ht="14.25" thickTop="1" thickBot="1">
      <c r="A35" s="184" t="s">
        <v>230</v>
      </c>
      <c r="B35" s="185"/>
      <c r="C35" s="19">
        <f>SUMIF($A$5:$A$34,"Total Site",$C$5:$C$34)</f>
        <v>20822</v>
      </c>
      <c r="D35" s="19">
        <f>SUMIF($A$5:$A$34,"Total Site",$D$5:$D$34)</f>
        <v>11928</v>
      </c>
      <c r="E35" s="19">
        <f>SUMIF($A$5:$A$34,"Total Site",$E$5:$E$34)</f>
        <v>8894</v>
      </c>
      <c r="F35" s="47">
        <f>E35/(D35+E35)</f>
        <v>0.42714436653539528</v>
      </c>
      <c r="G35" s="25">
        <f>SUMIF($A$5:$A$34,"Total Site",$G$5:$G$34)</f>
        <v>124</v>
      </c>
    </row>
    <row r="36" spans="1:7" ht="13.5" thickTop="1"/>
  </sheetData>
  <mergeCells count="4">
    <mergeCell ref="A1:G1"/>
    <mergeCell ref="A2:G2"/>
    <mergeCell ref="A4:B4"/>
    <mergeCell ref="A35:B35"/>
  </mergeCells>
  <conditionalFormatting sqref="F5:F11 F13:F19 F29:F30 F21:F24 F32:F33 F26:F27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4B0BD2-BF15-4FC1-905A-B00736C24B8B}">
  <ds:schemaRefs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SAN Storage Inventory</vt:lpstr>
      <vt:lpstr>Sheet3</vt:lpstr>
      <vt:lpstr>SAN Storage Capacity Summary</vt:lpstr>
      <vt:lpstr>SAN Switch Inventory EMEA</vt:lpstr>
      <vt:lpstr>SAN Switch Capacity Summary EME</vt:lpstr>
      <vt:lpstr>'SAN Storage Inventory'!Print_Area</vt:lpstr>
      <vt:lpstr>'SAN Switch Inventory EMEA'!Print_Area</vt:lpstr>
      <vt:lpstr>'SAN Storage Inventory'!Print_Titles</vt:lpstr>
      <vt:lpstr>'SAN Switch Inventory EMEA'!Print_Titles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2014-02-12T17:13:37Z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