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xl/comments1.xml" ContentType="application/vnd.openxmlformats-officedocument.spreadsheetml.comments+xml"/>
  <Override PartName="/xl/pivotTables/pivotTable2.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240" yWindow="90" windowWidth="20115" windowHeight="8250"/>
  </bookViews>
  <sheets>
    <sheet name="Main" sheetId="8" r:id="rId1"/>
    <sheet name="Source_New" sheetId="7" r:id="rId2"/>
    <sheet name="Poland G2C source" sheetId="10" r:id="rId3"/>
  </sheets>
  <externalReferences>
    <externalReference r:id="rId4"/>
  </externalReferences>
  <definedNames>
    <definedName name="IBM_DIA_XI52">'[1]Other Products'!$G$7</definedName>
    <definedName name="IBM_DIA_XI52_Maint">'[1]Other Products'!$G$8</definedName>
    <definedName name="IBM_pSeries_Memory_per_GB_gt_16GB_2014">'[1]CTI Rate Card 2014 (Complete)'!$I$980</definedName>
    <definedName name="LUN">[1]References!$Y$2</definedName>
    <definedName name="Products">[1]SW_Unit_costs!$L$3:$L$54</definedName>
    <definedName name="Safenet_PSE_PL600">'[1]Other Products'!$G$5</definedName>
    <definedName name="Safenet_PSE_PL600_Maint">'[1]Other Products'!$G$6</definedName>
    <definedName name="Storage_DC_Dist_Tape_2014">'[1]CTI Rate Card 2014 (Complete)'!$I$1108</definedName>
    <definedName name="Storage_DC_NAS_2014">'[1]CTI Rate Card 2014 (Complete)'!$I$941</definedName>
    <definedName name="Storage_DC_SAN_2014">'[1]CTI Rate Card 2014 (Complete)'!$I$910</definedName>
    <definedName name="Storage_Net_HW_Replication_2014">'[1]CTI Rate Card 2014 (Complete)'!$I$747</definedName>
    <definedName name="Sun_ESeries_Low_Mem_GT_8_2014">'[1]CTI Rate Card 2014 (Complete)'!$I$990</definedName>
    <definedName name="Sun_TSeries_High_Mem_GT_8_2014">'[1]CTI Rate Card 2014 (Complete)'!$I$979</definedName>
    <definedName name="Support_Direct_Server_Sun_per_OS_2014">'[1]CTI Rate Card 2014 (Complete)'!$I$878</definedName>
    <definedName name="Support_Direct_Server_x86_Wintel_per_OS_2014">'[1]CTI Rate Card 2014 (Complete)'!$I$874</definedName>
    <definedName name="VM_Guest_Tier_1_2014">'[1]CTI Rate Card 2014 (Complete)'!$I$1122</definedName>
    <definedName name="VM_Guest_Tier_2_2014">'[1]CTI Rate Card 2014 (Complete)'!$I$1128</definedName>
    <definedName name="VM_Guest_Tier_3_2014">'[1]CTI Rate Card 2014 (Complete)'!$I$1137</definedName>
    <definedName name="VM_Guest_Tier_4_2014">'[1]CTI Rate Card 2014 (Complete)'!$I$1145</definedName>
    <definedName name="VM_SS_per_vCPU_Daily_2014">'[1]CTI Rate Card 2014 (Complete)'!$I$260</definedName>
    <definedName name="vRAM_per_vCPU_2014_Daily">'[1]CTI Rate Card 2014 (Complete)'!$I$974</definedName>
    <definedName name="vRAM_per_vCPU_2014_Monthly">'[1]CTI Rate Card 2014 (Complete)'!$I$966</definedName>
    <definedName name="x86_Memory_GT12Win_GT8Unix_2014">'[1]CTI Rate Card 2014 (Complete)'!$I$969</definedName>
  </definedNames>
  <calcPr calcId="145621"/>
  <pivotCaches>
    <pivotCache cacheId="15" r:id="rId5"/>
    <pivotCache cacheId="25" r:id="rId6"/>
  </pivotCaches>
</workbook>
</file>

<file path=xl/calcChain.xml><?xml version="1.0" encoding="utf-8"?>
<calcChain xmlns="http://schemas.openxmlformats.org/spreadsheetml/2006/main">
  <c r="L38" i="10" l="1"/>
  <c r="L39" i="10"/>
  <c r="L40" i="10"/>
  <c r="K46" i="10"/>
  <c r="K47" i="10"/>
  <c r="K48" i="10"/>
  <c r="J9" i="8"/>
  <c r="I9" i="8"/>
  <c r="H9" i="8"/>
  <c r="I10" i="8" l="1"/>
  <c r="J10" i="8"/>
  <c r="H10" i="8"/>
  <c r="EN169" i="7"/>
  <c r="EM169" i="7"/>
  <c r="CI169" i="7"/>
  <c r="CH169" i="7"/>
  <c r="BV169" i="7"/>
  <c r="BN169" i="7"/>
  <c r="AV169" i="7"/>
  <c r="AT169" i="7"/>
  <c r="AR169" i="7"/>
  <c r="AI169" i="7" a="1"/>
  <c r="AI169" i="7" s="1"/>
  <c r="FI168" i="7"/>
  <c r="FG168" i="7"/>
  <c r="FF168" i="7"/>
  <c r="FD168" i="7"/>
  <c r="FC168" i="7"/>
  <c r="EX168" i="7"/>
  <c r="EW168" i="7"/>
  <c r="EV168" i="7"/>
  <c r="EK168" i="7"/>
  <c r="EJ168" i="7"/>
  <c r="EI168" i="7"/>
  <c r="EH168" i="7"/>
  <c r="EG168" i="7"/>
  <c r="EF168" i="7"/>
  <c r="EE168" i="7"/>
  <c r="ED168" i="7"/>
  <c r="EC168" i="7"/>
  <c r="EB168" i="7"/>
  <c r="EA168" i="7"/>
  <c r="DZ168" i="7"/>
  <c r="DY168" i="7"/>
  <c r="DX168" i="7"/>
  <c r="DW168" i="7"/>
  <c r="DV168" i="7"/>
  <c r="DU168" i="7"/>
  <c r="DT168" i="7"/>
  <c r="DS168" i="7"/>
  <c r="DR168" i="7"/>
  <c r="DQ168" i="7"/>
  <c r="DP168" i="7"/>
  <c r="DO168" i="7"/>
  <c r="DN168" i="7"/>
  <c r="DM168" i="7"/>
  <c r="DL168" i="7"/>
  <c r="DK168" i="7"/>
  <c r="DJ168" i="7"/>
  <c r="DI168" i="7"/>
  <c r="DH168" i="7"/>
  <c r="DG168" i="7"/>
  <c r="DF168" i="7"/>
  <c r="DE168" i="7"/>
  <c r="DD168" i="7"/>
  <c r="DC168" i="7"/>
  <c r="DB168" i="7"/>
  <c r="DA168" i="7"/>
  <c r="CZ168" i="7"/>
  <c r="CY168" i="7"/>
  <c r="CX168" i="7"/>
  <c r="CW168" i="7"/>
  <c r="CV168" i="7"/>
  <c r="CU168" i="7"/>
  <c r="CT168" i="7"/>
  <c r="CS168" i="7"/>
  <c r="CR168" i="7"/>
  <c r="CQ168" i="7"/>
  <c r="CP168" i="7"/>
  <c r="CO168" i="7"/>
  <c r="CN168" i="7"/>
  <c r="CM168" i="7"/>
  <c r="CL168" i="7"/>
  <c r="BS168" i="7"/>
  <c r="BU168" i="7" s="1"/>
  <c r="BK168" i="7"/>
  <c r="BM168" i="7" s="1"/>
  <c r="BO168" i="7" s="1"/>
  <c r="AO168" i="7"/>
  <c r="AN168" i="7"/>
  <c r="EZ168" i="7" s="1"/>
  <c r="AJ168" i="7"/>
  <c r="Z168" i="7"/>
  <c r="R168" i="7"/>
  <c r="FI167" i="7"/>
  <c r="FG167" i="7"/>
  <c r="FF167" i="7"/>
  <c r="FD167" i="7"/>
  <c r="FC167" i="7"/>
  <c r="EX167" i="7"/>
  <c r="EW167" i="7"/>
  <c r="EV167" i="7"/>
  <c r="EK167" i="7"/>
  <c r="EJ167" i="7"/>
  <c r="EI167" i="7"/>
  <c r="EH167" i="7"/>
  <c r="EG167" i="7"/>
  <c r="EF167" i="7"/>
  <c r="EE167" i="7"/>
  <c r="ED167" i="7"/>
  <c r="EC167" i="7"/>
  <c r="EB167" i="7"/>
  <c r="EA167" i="7"/>
  <c r="DZ167" i="7"/>
  <c r="DY167" i="7"/>
  <c r="DX167" i="7"/>
  <c r="DW167" i="7"/>
  <c r="DV167" i="7"/>
  <c r="DU167" i="7"/>
  <c r="DT167" i="7"/>
  <c r="DS167" i="7"/>
  <c r="DR167" i="7"/>
  <c r="DQ167" i="7"/>
  <c r="DP167" i="7"/>
  <c r="DO167" i="7"/>
  <c r="DN167" i="7"/>
  <c r="DM167" i="7"/>
  <c r="DL167" i="7"/>
  <c r="DK167" i="7"/>
  <c r="DJ167" i="7"/>
  <c r="DI167" i="7"/>
  <c r="DH167" i="7"/>
  <c r="DG167" i="7"/>
  <c r="DF167" i="7"/>
  <c r="DE167" i="7"/>
  <c r="DD167" i="7"/>
  <c r="DC167" i="7"/>
  <c r="DB167" i="7"/>
  <c r="DA167" i="7"/>
  <c r="CZ167" i="7"/>
  <c r="CY167" i="7"/>
  <c r="CX167" i="7"/>
  <c r="CW167" i="7"/>
  <c r="CV167" i="7"/>
  <c r="CU167" i="7"/>
  <c r="CT167" i="7"/>
  <c r="CS167" i="7"/>
  <c r="CR167" i="7"/>
  <c r="CQ167" i="7"/>
  <c r="CP167" i="7"/>
  <c r="CO167" i="7"/>
  <c r="CN167" i="7"/>
  <c r="CM167" i="7"/>
  <c r="CL167" i="7"/>
  <c r="BS167" i="7"/>
  <c r="BU167" i="7" s="1"/>
  <c r="BK167" i="7"/>
  <c r="BM167" i="7" s="1"/>
  <c r="BO167" i="7" s="1"/>
  <c r="BX167" i="7" s="1"/>
  <c r="AO167" i="7"/>
  <c r="AN167" i="7"/>
  <c r="AJ167" i="7"/>
  <c r="Z167" i="7"/>
  <c r="R167" i="7"/>
  <c r="FI166" i="7"/>
  <c r="FG166" i="7"/>
  <c r="FD166" i="7"/>
  <c r="EX166" i="7"/>
  <c r="EW166" i="7"/>
  <c r="EV166" i="7"/>
  <c r="EK166" i="7"/>
  <c r="EJ166" i="7"/>
  <c r="EI166" i="7"/>
  <c r="EH166" i="7"/>
  <c r="EG166" i="7"/>
  <c r="EF166" i="7"/>
  <c r="EE166" i="7"/>
  <c r="ED166" i="7"/>
  <c r="EC166" i="7"/>
  <c r="EB166" i="7"/>
  <c r="EA166" i="7"/>
  <c r="DZ166" i="7"/>
  <c r="DY166" i="7"/>
  <c r="DX166" i="7"/>
  <c r="DW166" i="7"/>
  <c r="DV166" i="7"/>
  <c r="DU166" i="7"/>
  <c r="DT166" i="7"/>
  <c r="DS166" i="7"/>
  <c r="DR166" i="7"/>
  <c r="DQ166" i="7"/>
  <c r="DP166" i="7"/>
  <c r="DO166" i="7"/>
  <c r="DN166" i="7"/>
  <c r="DM166" i="7"/>
  <c r="DL166" i="7"/>
  <c r="DK166" i="7"/>
  <c r="DJ166" i="7"/>
  <c r="DI166" i="7"/>
  <c r="DH166" i="7"/>
  <c r="DG166" i="7"/>
  <c r="DF166" i="7"/>
  <c r="DE166" i="7"/>
  <c r="DD166" i="7"/>
  <c r="DC166" i="7"/>
  <c r="DB166" i="7"/>
  <c r="DA166" i="7"/>
  <c r="CZ166" i="7"/>
  <c r="CY166" i="7"/>
  <c r="CX166" i="7"/>
  <c r="CW166" i="7"/>
  <c r="CV166" i="7"/>
  <c r="CU166" i="7"/>
  <c r="CT166" i="7"/>
  <c r="CS166" i="7"/>
  <c r="CR166" i="7"/>
  <c r="CQ166" i="7"/>
  <c r="CP166" i="7"/>
  <c r="CO166" i="7"/>
  <c r="CN166" i="7"/>
  <c r="CM166" i="7"/>
  <c r="CL166" i="7"/>
  <c r="BS166" i="7"/>
  <c r="BU166" i="7" s="1"/>
  <c r="AO166" i="7"/>
  <c r="AN166" i="7"/>
  <c r="AJ166" i="7"/>
  <c r="Z166" i="7"/>
  <c r="R166" i="7"/>
  <c r="FI165" i="7"/>
  <c r="FG165" i="7"/>
  <c r="FD165" i="7"/>
  <c r="EX165" i="7"/>
  <c r="EW165" i="7"/>
  <c r="EV165" i="7"/>
  <c r="EK165" i="7"/>
  <c r="EJ165" i="7"/>
  <c r="EI165" i="7"/>
  <c r="EH165" i="7"/>
  <c r="EG165" i="7"/>
  <c r="EF165" i="7"/>
  <c r="EE165" i="7"/>
  <c r="ED165" i="7"/>
  <c r="EC165" i="7"/>
  <c r="EB165" i="7"/>
  <c r="EA165" i="7"/>
  <c r="DZ165" i="7"/>
  <c r="DY165" i="7"/>
  <c r="DX165" i="7"/>
  <c r="DW165" i="7"/>
  <c r="DV165" i="7"/>
  <c r="DU165" i="7"/>
  <c r="DT165" i="7"/>
  <c r="DS165" i="7"/>
  <c r="DR165" i="7"/>
  <c r="DQ165" i="7"/>
  <c r="DP165" i="7"/>
  <c r="DO165" i="7"/>
  <c r="DN165" i="7"/>
  <c r="DM165" i="7"/>
  <c r="DL165" i="7"/>
  <c r="DK165" i="7"/>
  <c r="DJ165" i="7"/>
  <c r="DI165" i="7"/>
  <c r="DH165" i="7"/>
  <c r="DG165" i="7"/>
  <c r="DF165" i="7"/>
  <c r="DE165" i="7"/>
  <c r="DD165" i="7"/>
  <c r="DC165" i="7"/>
  <c r="DB165" i="7"/>
  <c r="DA165" i="7"/>
  <c r="CZ165" i="7"/>
  <c r="CY165" i="7"/>
  <c r="CX165" i="7"/>
  <c r="CW165" i="7"/>
  <c r="CV165" i="7"/>
  <c r="CU165" i="7"/>
  <c r="CT165" i="7"/>
  <c r="CS165" i="7"/>
  <c r="CR165" i="7"/>
  <c r="CQ165" i="7"/>
  <c r="CP165" i="7"/>
  <c r="CO165" i="7"/>
  <c r="CN165" i="7"/>
  <c r="CM165" i="7"/>
  <c r="CL165" i="7"/>
  <c r="BS165" i="7"/>
  <c r="BU165" i="7" s="1"/>
  <c r="AO165" i="7"/>
  <c r="BK165" i="7" s="1"/>
  <c r="BM165" i="7" s="1"/>
  <c r="BO165" i="7" s="1"/>
  <c r="AN165" i="7"/>
  <c r="AJ165" i="7"/>
  <c r="Z165" i="7"/>
  <c r="R165" i="7"/>
  <c r="FI164" i="7"/>
  <c r="FG164" i="7"/>
  <c r="FD164" i="7"/>
  <c r="EX164" i="7"/>
  <c r="EW164" i="7"/>
  <c r="EV164" i="7"/>
  <c r="EK164" i="7"/>
  <c r="EJ164" i="7"/>
  <c r="EI164" i="7"/>
  <c r="EH164" i="7"/>
  <c r="EG164" i="7"/>
  <c r="EF164" i="7"/>
  <c r="EE164" i="7"/>
  <c r="ED164" i="7"/>
  <c r="EC164" i="7"/>
  <c r="EB164" i="7"/>
  <c r="EA164" i="7"/>
  <c r="DZ164" i="7"/>
  <c r="DY164" i="7"/>
  <c r="DX164" i="7"/>
  <c r="DW164" i="7"/>
  <c r="DV164" i="7"/>
  <c r="DU164" i="7"/>
  <c r="DT164" i="7"/>
  <c r="DS164" i="7"/>
  <c r="DR164" i="7"/>
  <c r="DQ164" i="7"/>
  <c r="DP164" i="7"/>
  <c r="DO164" i="7"/>
  <c r="DN164" i="7"/>
  <c r="DM164" i="7"/>
  <c r="DL164" i="7"/>
  <c r="DK164" i="7"/>
  <c r="DJ164" i="7"/>
  <c r="DI164" i="7"/>
  <c r="DH164" i="7"/>
  <c r="DG164" i="7"/>
  <c r="DF164" i="7"/>
  <c r="DE164" i="7"/>
  <c r="DD164" i="7"/>
  <c r="DC164" i="7"/>
  <c r="DB164" i="7"/>
  <c r="DA164" i="7"/>
  <c r="CZ164" i="7"/>
  <c r="CY164" i="7"/>
  <c r="CX164" i="7"/>
  <c r="CW164" i="7"/>
  <c r="CV164" i="7"/>
  <c r="CU164" i="7"/>
  <c r="CT164" i="7"/>
  <c r="CS164" i="7"/>
  <c r="CR164" i="7"/>
  <c r="CQ164" i="7"/>
  <c r="CP164" i="7"/>
  <c r="CO164" i="7"/>
  <c r="CN164" i="7"/>
  <c r="CM164" i="7"/>
  <c r="CL164" i="7"/>
  <c r="BS164" i="7"/>
  <c r="BU164" i="7" s="1"/>
  <c r="AO164" i="7"/>
  <c r="AN164" i="7"/>
  <c r="AJ164" i="7"/>
  <c r="Z164" i="7"/>
  <c r="R164" i="7"/>
  <c r="FI163" i="7"/>
  <c r="FG163" i="7"/>
  <c r="FD163" i="7"/>
  <c r="EX163" i="7"/>
  <c r="EW163" i="7"/>
  <c r="EV163" i="7"/>
  <c r="EK163" i="7"/>
  <c r="EJ163" i="7"/>
  <c r="EI163" i="7"/>
  <c r="EH163" i="7"/>
  <c r="EG163" i="7"/>
  <c r="EF163" i="7"/>
  <c r="EE163" i="7"/>
  <c r="ED163" i="7"/>
  <c r="EC163" i="7"/>
  <c r="EB163" i="7"/>
  <c r="EA163" i="7"/>
  <c r="DZ163" i="7"/>
  <c r="DY163" i="7"/>
  <c r="DX163" i="7"/>
  <c r="DW163" i="7"/>
  <c r="DV163" i="7"/>
  <c r="DU163" i="7"/>
  <c r="DT163" i="7"/>
  <c r="DS163" i="7"/>
  <c r="DR163" i="7"/>
  <c r="DQ163" i="7"/>
  <c r="DP163" i="7"/>
  <c r="DO163" i="7"/>
  <c r="DN163" i="7"/>
  <c r="DM163" i="7"/>
  <c r="DL163" i="7"/>
  <c r="DK163" i="7"/>
  <c r="DJ163" i="7"/>
  <c r="DI163" i="7"/>
  <c r="DH163" i="7"/>
  <c r="DG163" i="7"/>
  <c r="DF163" i="7"/>
  <c r="DE163" i="7"/>
  <c r="DD163" i="7"/>
  <c r="DC163" i="7"/>
  <c r="DB163" i="7"/>
  <c r="DA163" i="7"/>
  <c r="CZ163" i="7"/>
  <c r="CY163" i="7"/>
  <c r="CX163" i="7"/>
  <c r="CW163" i="7"/>
  <c r="CV163" i="7"/>
  <c r="CU163" i="7"/>
  <c r="CT163" i="7"/>
  <c r="CS163" i="7"/>
  <c r="CR163" i="7"/>
  <c r="CQ163" i="7"/>
  <c r="CP163" i="7"/>
  <c r="CO163" i="7"/>
  <c r="CN163" i="7"/>
  <c r="CM163" i="7"/>
  <c r="CL163" i="7"/>
  <c r="BS163" i="7"/>
  <c r="BU163" i="7" s="1"/>
  <c r="AO163" i="7"/>
  <c r="FA163" i="7" s="1"/>
  <c r="AN163" i="7"/>
  <c r="AJ163" i="7"/>
  <c r="Z163" i="7"/>
  <c r="R163" i="7"/>
  <c r="FI162" i="7"/>
  <c r="FG162" i="7"/>
  <c r="FF162" i="7"/>
  <c r="FD162" i="7"/>
  <c r="FC162" i="7"/>
  <c r="EX162" i="7"/>
  <c r="EW162" i="7"/>
  <c r="EV162" i="7"/>
  <c r="EK162" i="7"/>
  <c r="EJ162" i="7"/>
  <c r="EI162" i="7"/>
  <c r="EH162" i="7"/>
  <c r="EG162" i="7"/>
  <c r="EF162" i="7"/>
  <c r="EE162" i="7"/>
  <c r="ED162" i="7"/>
  <c r="EC162" i="7"/>
  <c r="EB162" i="7"/>
  <c r="EA162" i="7"/>
  <c r="DZ162" i="7"/>
  <c r="DY162" i="7"/>
  <c r="DX162" i="7"/>
  <c r="DW162" i="7"/>
  <c r="DV162" i="7"/>
  <c r="DU162" i="7"/>
  <c r="DT162" i="7"/>
  <c r="DS162" i="7"/>
  <c r="DR162" i="7"/>
  <c r="DQ162" i="7"/>
  <c r="DP162" i="7"/>
  <c r="DO162" i="7"/>
  <c r="DN162" i="7"/>
  <c r="DM162" i="7"/>
  <c r="DL162" i="7"/>
  <c r="DK162" i="7"/>
  <c r="DJ162" i="7"/>
  <c r="DI162" i="7"/>
  <c r="DH162" i="7"/>
  <c r="DG162" i="7"/>
  <c r="DF162" i="7"/>
  <c r="DE162" i="7"/>
  <c r="DD162" i="7"/>
  <c r="DC162" i="7"/>
  <c r="DB162" i="7"/>
  <c r="DA162" i="7"/>
  <c r="CZ162" i="7"/>
  <c r="CY162" i="7"/>
  <c r="CX162" i="7"/>
  <c r="CW162" i="7"/>
  <c r="CV162" i="7"/>
  <c r="CU162" i="7"/>
  <c r="CT162" i="7"/>
  <c r="CS162" i="7"/>
  <c r="CR162" i="7"/>
  <c r="CQ162" i="7"/>
  <c r="CP162" i="7"/>
  <c r="CO162" i="7"/>
  <c r="CN162" i="7"/>
  <c r="CM162" i="7"/>
  <c r="CL162" i="7"/>
  <c r="BS162" i="7"/>
  <c r="BU162" i="7" s="1"/>
  <c r="BK162" i="7"/>
  <c r="BM162" i="7" s="1"/>
  <c r="BO162" i="7" s="1"/>
  <c r="BX162" i="7" s="1"/>
  <c r="AO162" i="7"/>
  <c r="FE162" i="7" s="1"/>
  <c r="AN162" i="7"/>
  <c r="EZ162" i="7" s="1"/>
  <c r="AJ162" i="7"/>
  <c r="Z162" i="7"/>
  <c r="R162" i="7"/>
  <c r="FI161" i="7"/>
  <c r="FG161" i="7"/>
  <c r="FF161" i="7"/>
  <c r="FD161" i="7"/>
  <c r="FC161" i="7"/>
  <c r="EX161" i="7"/>
  <c r="EW161" i="7"/>
  <c r="EV161" i="7"/>
  <c r="EK161" i="7"/>
  <c r="EJ161" i="7"/>
  <c r="EI161" i="7"/>
  <c r="EH161" i="7"/>
  <c r="EG161" i="7"/>
  <c r="EF161" i="7"/>
  <c r="EE161" i="7"/>
  <c r="ED161" i="7"/>
  <c r="EC161" i="7"/>
  <c r="EB161" i="7"/>
  <c r="EA161" i="7"/>
  <c r="DZ161" i="7"/>
  <c r="DY161" i="7"/>
  <c r="DX161" i="7"/>
  <c r="DW161" i="7"/>
  <c r="DV161" i="7"/>
  <c r="DU161" i="7"/>
  <c r="DT161" i="7"/>
  <c r="DS161" i="7"/>
  <c r="DR161" i="7"/>
  <c r="DQ161" i="7"/>
  <c r="DP161" i="7"/>
  <c r="DO161" i="7"/>
  <c r="DN161" i="7"/>
  <c r="DM161" i="7"/>
  <c r="DL161" i="7"/>
  <c r="DK161" i="7"/>
  <c r="DJ161" i="7"/>
  <c r="DI161" i="7"/>
  <c r="DH161" i="7"/>
  <c r="DG161" i="7"/>
  <c r="DF161" i="7"/>
  <c r="DE161" i="7"/>
  <c r="DD161" i="7"/>
  <c r="DC161" i="7"/>
  <c r="DB161" i="7"/>
  <c r="DA161" i="7"/>
  <c r="CZ161" i="7"/>
  <c r="CY161" i="7"/>
  <c r="CX161" i="7"/>
  <c r="CW161" i="7"/>
  <c r="CV161" i="7"/>
  <c r="CU161" i="7"/>
  <c r="CT161" i="7"/>
  <c r="CS161" i="7"/>
  <c r="CR161" i="7"/>
  <c r="CQ161" i="7"/>
  <c r="CP161" i="7"/>
  <c r="CO161" i="7"/>
  <c r="CN161" i="7"/>
  <c r="CM161" i="7"/>
  <c r="CL161" i="7"/>
  <c r="BS161" i="7"/>
  <c r="BU161" i="7" s="1"/>
  <c r="BK161" i="7"/>
  <c r="BM161" i="7" s="1"/>
  <c r="BO161" i="7" s="1"/>
  <c r="AO161" i="7"/>
  <c r="FA161" i="7" s="1"/>
  <c r="AN161" i="7"/>
  <c r="AU161" i="7" s="1"/>
  <c r="AJ161" i="7"/>
  <c r="Z161" i="7"/>
  <c r="R161" i="7"/>
  <c r="FI160" i="7"/>
  <c r="FG160" i="7"/>
  <c r="FF160" i="7"/>
  <c r="FD160" i="7"/>
  <c r="FC160" i="7"/>
  <c r="EX160" i="7"/>
  <c r="EW160" i="7"/>
  <c r="EV160" i="7"/>
  <c r="EK160" i="7"/>
  <c r="EJ160" i="7"/>
  <c r="EI160" i="7"/>
  <c r="EH160" i="7"/>
  <c r="EG160" i="7"/>
  <c r="EF160" i="7"/>
  <c r="EE160" i="7"/>
  <c r="ED160" i="7"/>
  <c r="EC160" i="7"/>
  <c r="EB160" i="7"/>
  <c r="EA160" i="7"/>
  <c r="DZ160" i="7"/>
  <c r="DY160" i="7"/>
  <c r="DX160" i="7"/>
  <c r="DW160" i="7"/>
  <c r="DV160" i="7"/>
  <c r="DU160" i="7"/>
  <c r="DT160" i="7"/>
  <c r="DS160" i="7"/>
  <c r="DR160" i="7"/>
  <c r="DQ160" i="7"/>
  <c r="DP160" i="7"/>
  <c r="DO160" i="7"/>
  <c r="DN160" i="7"/>
  <c r="DM160" i="7"/>
  <c r="DL160" i="7"/>
  <c r="DK160" i="7"/>
  <c r="DJ160" i="7"/>
  <c r="DI160" i="7"/>
  <c r="DH160" i="7"/>
  <c r="DG160" i="7"/>
  <c r="DF160" i="7"/>
  <c r="DE160" i="7"/>
  <c r="DD160" i="7"/>
  <c r="DC160" i="7"/>
  <c r="DB160" i="7"/>
  <c r="DA160" i="7"/>
  <c r="CZ160" i="7"/>
  <c r="CY160" i="7"/>
  <c r="CX160" i="7"/>
  <c r="CW160" i="7"/>
  <c r="CV160" i="7"/>
  <c r="CU160" i="7"/>
  <c r="CT160" i="7"/>
  <c r="CS160" i="7"/>
  <c r="CR160" i="7"/>
  <c r="CQ160" i="7"/>
  <c r="CP160" i="7"/>
  <c r="CO160" i="7"/>
  <c r="CN160" i="7"/>
  <c r="CM160" i="7"/>
  <c r="CL160" i="7"/>
  <c r="BS160" i="7"/>
  <c r="BU160" i="7" s="1"/>
  <c r="BK160" i="7"/>
  <c r="BM160" i="7" s="1"/>
  <c r="BO160" i="7" s="1"/>
  <c r="AO160" i="7"/>
  <c r="AN160" i="7"/>
  <c r="AJ160" i="7"/>
  <c r="Z160" i="7"/>
  <c r="R160" i="7"/>
  <c r="FI159" i="7"/>
  <c r="FG159" i="7"/>
  <c r="FF159" i="7"/>
  <c r="FD159" i="7"/>
  <c r="FC159" i="7"/>
  <c r="EX159" i="7"/>
  <c r="EW159" i="7"/>
  <c r="EV159" i="7"/>
  <c r="EK159" i="7"/>
  <c r="EJ159" i="7"/>
  <c r="EI159" i="7"/>
  <c r="EH159" i="7"/>
  <c r="EG159" i="7"/>
  <c r="EF159" i="7"/>
  <c r="EE159" i="7"/>
  <c r="ED159" i="7"/>
  <c r="EC159" i="7"/>
  <c r="EB159" i="7"/>
  <c r="EA159" i="7"/>
  <c r="DZ159" i="7"/>
  <c r="DY159" i="7"/>
  <c r="DX159" i="7"/>
  <c r="DW159" i="7"/>
  <c r="DV159" i="7"/>
  <c r="DU159" i="7"/>
  <c r="DT159" i="7"/>
  <c r="DS159" i="7"/>
  <c r="DR159" i="7"/>
  <c r="DQ159" i="7"/>
  <c r="DP159" i="7"/>
  <c r="DO159" i="7"/>
  <c r="DN159" i="7"/>
  <c r="DM159" i="7"/>
  <c r="DL159" i="7"/>
  <c r="DK159" i="7"/>
  <c r="DJ159" i="7"/>
  <c r="DI159" i="7"/>
  <c r="DH159" i="7"/>
  <c r="DG159" i="7"/>
  <c r="DF159" i="7"/>
  <c r="DE159" i="7"/>
  <c r="DD159" i="7"/>
  <c r="DC159" i="7"/>
  <c r="DB159" i="7"/>
  <c r="DA159" i="7"/>
  <c r="CZ159" i="7"/>
  <c r="CY159" i="7"/>
  <c r="CX159" i="7"/>
  <c r="CW159" i="7"/>
  <c r="CV159" i="7"/>
  <c r="CU159" i="7"/>
  <c r="CT159" i="7"/>
  <c r="CS159" i="7"/>
  <c r="CR159" i="7"/>
  <c r="CQ159" i="7"/>
  <c r="CP159" i="7"/>
  <c r="CO159" i="7"/>
  <c r="CN159" i="7"/>
  <c r="CM159" i="7"/>
  <c r="CL159" i="7"/>
  <c r="BS159" i="7"/>
  <c r="BU159" i="7" s="1"/>
  <c r="BK159" i="7"/>
  <c r="BM159" i="7" s="1"/>
  <c r="BO159" i="7" s="1"/>
  <c r="BX159" i="7" s="1"/>
  <c r="AO159" i="7"/>
  <c r="AN159" i="7"/>
  <c r="AJ159" i="7"/>
  <c r="Z159" i="7"/>
  <c r="R159" i="7"/>
  <c r="FI158" i="7"/>
  <c r="FG158" i="7"/>
  <c r="FF158" i="7"/>
  <c r="FD158" i="7"/>
  <c r="FC158" i="7"/>
  <c r="EX158" i="7"/>
  <c r="EW158" i="7"/>
  <c r="EV158" i="7"/>
  <c r="EK158" i="7"/>
  <c r="EJ158" i="7"/>
  <c r="EI158" i="7"/>
  <c r="EH158" i="7"/>
  <c r="EG158" i="7"/>
  <c r="EF158" i="7"/>
  <c r="EE158" i="7"/>
  <c r="ED158" i="7"/>
  <c r="EC158" i="7"/>
  <c r="EB158" i="7"/>
  <c r="EA158" i="7"/>
  <c r="DZ158" i="7"/>
  <c r="DY158" i="7"/>
  <c r="DX158" i="7"/>
  <c r="DW158" i="7"/>
  <c r="DV158" i="7"/>
  <c r="DU158" i="7"/>
  <c r="DT158" i="7"/>
  <c r="DS158" i="7"/>
  <c r="DR158" i="7"/>
  <c r="DQ158" i="7"/>
  <c r="DP158" i="7"/>
  <c r="DO158" i="7"/>
  <c r="DN158" i="7"/>
  <c r="DM158" i="7"/>
  <c r="DL158" i="7"/>
  <c r="DK158" i="7"/>
  <c r="DJ158" i="7"/>
  <c r="DI158" i="7"/>
  <c r="DH158" i="7"/>
  <c r="DG158" i="7"/>
  <c r="DF158" i="7"/>
  <c r="DE158" i="7"/>
  <c r="DD158" i="7"/>
  <c r="DC158" i="7"/>
  <c r="DB158" i="7"/>
  <c r="DA158" i="7"/>
  <c r="CZ158" i="7"/>
  <c r="CY158" i="7"/>
  <c r="CX158" i="7"/>
  <c r="CW158" i="7"/>
  <c r="CV158" i="7"/>
  <c r="CU158" i="7"/>
  <c r="CT158" i="7"/>
  <c r="CS158" i="7"/>
  <c r="CR158" i="7"/>
  <c r="CQ158" i="7"/>
  <c r="CP158" i="7"/>
  <c r="CO158" i="7"/>
  <c r="CN158" i="7"/>
  <c r="CM158" i="7"/>
  <c r="CL158" i="7"/>
  <c r="BS158" i="7"/>
  <c r="BU158" i="7" s="1"/>
  <c r="BK158" i="7"/>
  <c r="BM158" i="7" s="1"/>
  <c r="BO158" i="7" s="1"/>
  <c r="BX158" i="7" s="1"/>
  <c r="AO158" i="7"/>
  <c r="AN158" i="7"/>
  <c r="AJ158" i="7"/>
  <c r="Z158" i="7"/>
  <c r="R158" i="7"/>
  <c r="FI157" i="7"/>
  <c r="FG157" i="7"/>
  <c r="FF157" i="7"/>
  <c r="FD157" i="7"/>
  <c r="FC157" i="7"/>
  <c r="EX157" i="7"/>
  <c r="EW157" i="7"/>
  <c r="EV157" i="7"/>
  <c r="EK157" i="7"/>
  <c r="EJ157" i="7"/>
  <c r="EI157" i="7"/>
  <c r="EH157" i="7"/>
  <c r="EG157" i="7"/>
  <c r="EF157" i="7"/>
  <c r="EE157" i="7"/>
  <c r="ED157" i="7"/>
  <c r="EC157" i="7"/>
  <c r="EB157" i="7"/>
  <c r="EA157" i="7"/>
  <c r="DZ157" i="7"/>
  <c r="DY157" i="7"/>
  <c r="DX157" i="7"/>
  <c r="DW157" i="7"/>
  <c r="DV157" i="7"/>
  <c r="DU157" i="7"/>
  <c r="DT157" i="7"/>
  <c r="DS157" i="7"/>
  <c r="DR157" i="7"/>
  <c r="DQ157" i="7"/>
  <c r="DP157" i="7"/>
  <c r="DO157" i="7"/>
  <c r="DN157" i="7"/>
  <c r="DM157" i="7"/>
  <c r="DL157" i="7"/>
  <c r="DK157" i="7"/>
  <c r="DJ157" i="7"/>
  <c r="DI157" i="7"/>
  <c r="DH157" i="7"/>
  <c r="DG157" i="7"/>
  <c r="DF157" i="7"/>
  <c r="DE157" i="7"/>
  <c r="DD157" i="7"/>
  <c r="DC157" i="7"/>
  <c r="DB157" i="7"/>
  <c r="DA157" i="7"/>
  <c r="CZ157" i="7"/>
  <c r="CY157" i="7"/>
  <c r="CX157" i="7"/>
  <c r="CW157" i="7"/>
  <c r="CV157" i="7"/>
  <c r="CU157" i="7"/>
  <c r="CT157" i="7"/>
  <c r="CS157" i="7"/>
  <c r="CR157" i="7"/>
  <c r="CQ157" i="7"/>
  <c r="CP157" i="7"/>
  <c r="CO157" i="7"/>
  <c r="CN157" i="7"/>
  <c r="CM157" i="7"/>
  <c r="CL157" i="7"/>
  <c r="BS157" i="7"/>
  <c r="BU157" i="7" s="1"/>
  <c r="BK157" i="7"/>
  <c r="BM157" i="7" s="1"/>
  <c r="BO157" i="7" s="1"/>
  <c r="AO157" i="7"/>
  <c r="AN157" i="7"/>
  <c r="AU157" i="7" s="1"/>
  <c r="AJ157" i="7"/>
  <c r="Z157" i="7"/>
  <c r="R157" i="7"/>
  <c r="FI156" i="7"/>
  <c r="FG156" i="7"/>
  <c r="FF156" i="7"/>
  <c r="FD156" i="7"/>
  <c r="FC156" i="7"/>
  <c r="EX156" i="7"/>
  <c r="EW156" i="7"/>
  <c r="EV156" i="7"/>
  <c r="EK156" i="7"/>
  <c r="EJ156" i="7"/>
  <c r="EI156" i="7"/>
  <c r="EH156" i="7"/>
  <c r="EG156" i="7"/>
  <c r="EF156" i="7"/>
  <c r="EE156" i="7"/>
  <c r="ED156" i="7"/>
  <c r="EC156" i="7"/>
  <c r="EB156" i="7"/>
  <c r="EA156" i="7"/>
  <c r="DZ156" i="7"/>
  <c r="DY156" i="7"/>
  <c r="DX156" i="7"/>
  <c r="DW156" i="7"/>
  <c r="DV156" i="7"/>
  <c r="DU156" i="7"/>
  <c r="DT156" i="7"/>
  <c r="DS156" i="7"/>
  <c r="DR156" i="7"/>
  <c r="DQ156" i="7"/>
  <c r="DP156" i="7"/>
  <c r="DO156" i="7"/>
  <c r="DN156" i="7"/>
  <c r="DM156" i="7"/>
  <c r="DL156" i="7"/>
  <c r="DK156" i="7"/>
  <c r="DJ156" i="7"/>
  <c r="DI156" i="7"/>
  <c r="DH156" i="7"/>
  <c r="DG156" i="7"/>
  <c r="DF156" i="7"/>
  <c r="DE156" i="7"/>
  <c r="DD156" i="7"/>
  <c r="DC156" i="7"/>
  <c r="DB156" i="7"/>
  <c r="DA156" i="7"/>
  <c r="CZ156" i="7"/>
  <c r="CY156" i="7"/>
  <c r="CX156" i="7"/>
  <c r="CW156" i="7"/>
  <c r="CV156" i="7"/>
  <c r="CU156" i="7"/>
  <c r="CT156" i="7"/>
  <c r="CS156" i="7"/>
  <c r="CR156" i="7"/>
  <c r="CQ156" i="7"/>
  <c r="CP156" i="7"/>
  <c r="CO156" i="7"/>
  <c r="CN156" i="7"/>
  <c r="CM156" i="7"/>
  <c r="CL156" i="7"/>
  <c r="BS156" i="7"/>
  <c r="BU156" i="7" s="1"/>
  <c r="BM156" i="7"/>
  <c r="BO156" i="7" s="1"/>
  <c r="BK156" i="7"/>
  <c r="AO156" i="7"/>
  <c r="AN156" i="7"/>
  <c r="AJ156" i="7"/>
  <c r="Z156" i="7"/>
  <c r="R156" i="7"/>
  <c r="FI155" i="7"/>
  <c r="FG155" i="7"/>
  <c r="FF155" i="7"/>
  <c r="FD155" i="7"/>
  <c r="FC155" i="7"/>
  <c r="EX155" i="7"/>
  <c r="EW155" i="7"/>
  <c r="EV155" i="7"/>
  <c r="EK155" i="7"/>
  <c r="EJ155" i="7"/>
  <c r="EI155" i="7"/>
  <c r="EH155" i="7"/>
  <c r="EG155" i="7"/>
  <c r="EF155" i="7"/>
  <c r="EE155" i="7"/>
  <c r="ED155" i="7"/>
  <c r="EC155" i="7"/>
  <c r="EB155" i="7"/>
  <c r="EA155" i="7"/>
  <c r="DZ155" i="7"/>
  <c r="DY155" i="7"/>
  <c r="DX155" i="7"/>
  <c r="DW155" i="7"/>
  <c r="DV155" i="7"/>
  <c r="DU155" i="7"/>
  <c r="DT155" i="7"/>
  <c r="DS155" i="7"/>
  <c r="DR155" i="7"/>
  <c r="DQ155" i="7"/>
  <c r="DP155" i="7"/>
  <c r="DO155" i="7"/>
  <c r="DN155" i="7"/>
  <c r="DM155" i="7"/>
  <c r="DL155" i="7"/>
  <c r="DK155" i="7"/>
  <c r="DJ155" i="7"/>
  <c r="DI155" i="7"/>
  <c r="DH155" i="7"/>
  <c r="DG155" i="7"/>
  <c r="DF155" i="7"/>
  <c r="DE155" i="7"/>
  <c r="DD155" i="7"/>
  <c r="DC155" i="7"/>
  <c r="DB155" i="7"/>
  <c r="DA155" i="7"/>
  <c r="CZ155" i="7"/>
  <c r="CY155" i="7"/>
  <c r="CX155" i="7"/>
  <c r="CW155" i="7"/>
  <c r="CV155" i="7"/>
  <c r="CU155" i="7"/>
  <c r="CT155" i="7"/>
  <c r="CS155" i="7"/>
  <c r="CR155" i="7"/>
  <c r="CQ155" i="7"/>
  <c r="CP155" i="7"/>
  <c r="CO155" i="7"/>
  <c r="CN155" i="7"/>
  <c r="CM155" i="7"/>
  <c r="CL155" i="7"/>
  <c r="BS155" i="7"/>
  <c r="BU155" i="7" s="1"/>
  <c r="BK155" i="7"/>
  <c r="BM155" i="7" s="1"/>
  <c r="BO155" i="7" s="1"/>
  <c r="AO155" i="7"/>
  <c r="AN155" i="7"/>
  <c r="AJ155" i="7"/>
  <c r="Z155" i="7"/>
  <c r="R155" i="7"/>
  <c r="FI154" i="7"/>
  <c r="FG154" i="7"/>
  <c r="FF154" i="7"/>
  <c r="FD154" i="7"/>
  <c r="FC154" i="7"/>
  <c r="EX154" i="7"/>
  <c r="EW154" i="7"/>
  <c r="EV154" i="7"/>
  <c r="EK154" i="7"/>
  <c r="EJ154" i="7"/>
  <c r="EI154" i="7"/>
  <c r="EH154" i="7"/>
  <c r="EG154" i="7"/>
  <c r="EF154" i="7"/>
  <c r="EE154" i="7"/>
  <c r="ED154" i="7"/>
  <c r="EC154" i="7"/>
  <c r="EB154" i="7"/>
  <c r="EA154" i="7"/>
  <c r="DZ154" i="7"/>
  <c r="DY154" i="7"/>
  <c r="DX154" i="7"/>
  <c r="DW154" i="7"/>
  <c r="DV154" i="7"/>
  <c r="DU154" i="7"/>
  <c r="DT154" i="7"/>
  <c r="DS154" i="7"/>
  <c r="DR154" i="7"/>
  <c r="DQ154" i="7"/>
  <c r="DP154" i="7"/>
  <c r="DO154" i="7"/>
  <c r="DN154" i="7"/>
  <c r="DM154" i="7"/>
  <c r="DL154" i="7"/>
  <c r="DK154" i="7"/>
  <c r="DJ154" i="7"/>
  <c r="DI154" i="7"/>
  <c r="DH154" i="7"/>
  <c r="DG154" i="7"/>
  <c r="DF154" i="7"/>
  <c r="DE154" i="7"/>
  <c r="DD154" i="7"/>
  <c r="DC154" i="7"/>
  <c r="DB154" i="7"/>
  <c r="DA154" i="7"/>
  <c r="CZ154" i="7"/>
  <c r="CY154" i="7"/>
  <c r="CX154" i="7"/>
  <c r="CW154" i="7"/>
  <c r="CV154" i="7"/>
  <c r="CU154" i="7"/>
  <c r="CT154" i="7"/>
  <c r="CS154" i="7"/>
  <c r="CR154" i="7"/>
  <c r="CQ154" i="7"/>
  <c r="CP154" i="7"/>
  <c r="CO154" i="7"/>
  <c r="CN154" i="7"/>
  <c r="CM154" i="7"/>
  <c r="CL154" i="7"/>
  <c r="BS154" i="7"/>
  <c r="BU154" i="7" s="1"/>
  <c r="BK154" i="7"/>
  <c r="BM154" i="7" s="1"/>
  <c r="BO154" i="7" s="1"/>
  <c r="AO154" i="7"/>
  <c r="AN154" i="7"/>
  <c r="EO154" i="7" s="1"/>
  <c r="AJ154" i="7"/>
  <c r="Z154" i="7"/>
  <c r="R154" i="7"/>
  <c r="FI153" i="7"/>
  <c r="FG153" i="7"/>
  <c r="FF153" i="7"/>
  <c r="FD153" i="7"/>
  <c r="FC153" i="7"/>
  <c r="EX153" i="7"/>
  <c r="EW153" i="7"/>
  <c r="EV153" i="7"/>
  <c r="EK153" i="7"/>
  <c r="EJ153" i="7"/>
  <c r="EI153" i="7"/>
  <c r="EH153" i="7"/>
  <c r="EG153" i="7"/>
  <c r="EF153" i="7"/>
  <c r="EE153" i="7"/>
  <c r="ED153" i="7"/>
  <c r="EC153" i="7"/>
  <c r="EB153" i="7"/>
  <c r="EA153" i="7"/>
  <c r="DZ153" i="7"/>
  <c r="DY153" i="7"/>
  <c r="DX153" i="7"/>
  <c r="DW153" i="7"/>
  <c r="DV153" i="7"/>
  <c r="DU153" i="7"/>
  <c r="DT153" i="7"/>
  <c r="DS153" i="7"/>
  <c r="DR153" i="7"/>
  <c r="DQ153" i="7"/>
  <c r="DP153" i="7"/>
  <c r="DO153" i="7"/>
  <c r="DN153" i="7"/>
  <c r="DM153" i="7"/>
  <c r="DL153" i="7"/>
  <c r="DK153" i="7"/>
  <c r="DJ153" i="7"/>
  <c r="DI153" i="7"/>
  <c r="DH153" i="7"/>
  <c r="DG153" i="7"/>
  <c r="DF153" i="7"/>
  <c r="DE153" i="7"/>
  <c r="DD153" i="7"/>
  <c r="DC153" i="7"/>
  <c r="DB153" i="7"/>
  <c r="DA153" i="7"/>
  <c r="CZ153" i="7"/>
  <c r="CY153" i="7"/>
  <c r="CX153" i="7"/>
  <c r="CW153" i="7"/>
  <c r="CV153" i="7"/>
  <c r="CU153" i="7"/>
  <c r="CT153" i="7"/>
  <c r="CS153" i="7"/>
  <c r="CR153" i="7"/>
  <c r="CQ153" i="7"/>
  <c r="CP153" i="7"/>
  <c r="CO153" i="7"/>
  <c r="CN153" i="7"/>
  <c r="CM153" i="7"/>
  <c r="CL153" i="7"/>
  <c r="BS153" i="7"/>
  <c r="BU153" i="7" s="1"/>
  <c r="BK153" i="7"/>
  <c r="BM153" i="7" s="1"/>
  <c r="BO153" i="7" s="1"/>
  <c r="BX153" i="7" s="1"/>
  <c r="BY153" i="7" s="1"/>
  <c r="AO153" i="7"/>
  <c r="AN153" i="7"/>
  <c r="EZ153" i="7" s="1"/>
  <c r="AJ153" i="7"/>
  <c r="Z153" i="7"/>
  <c r="R153" i="7"/>
  <c r="FI152" i="7"/>
  <c r="FG152" i="7"/>
  <c r="FF152" i="7"/>
  <c r="FD152" i="7"/>
  <c r="FC152" i="7"/>
  <c r="EX152" i="7"/>
  <c r="EW152" i="7"/>
  <c r="EV152" i="7"/>
  <c r="EK152" i="7"/>
  <c r="EJ152" i="7"/>
  <c r="EI152" i="7"/>
  <c r="EH152" i="7"/>
  <c r="EG152" i="7"/>
  <c r="EF152" i="7"/>
  <c r="EE152" i="7"/>
  <c r="ED152" i="7"/>
  <c r="EC152" i="7"/>
  <c r="EB152" i="7"/>
  <c r="EA152" i="7"/>
  <c r="DZ152" i="7"/>
  <c r="DY152" i="7"/>
  <c r="DX152" i="7"/>
  <c r="DW152" i="7"/>
  <c r="DV152" i="7"/>
  <c r="DU152" i="7"/>
  <c r="DT152" i="7"/>
  <c r="DS152" i="7"/>
  <c r="DR152" i="7"/>
  <c r="DQ152" i="7"/>
  <c r="DP152" i="7"/>
  <c r="DO152" i="7"/>
  <c r="DN152" i="7"/>
  <c r="DM152" i="7"/>
  <c r="DL152" i="7"/>
  <c r="DK152" i="7"/>
  <c r="DJ152" i="7"/>
  <c r="DI152" i="7"/>
  <c r="DH152" i="7"/>
  <c r="DG152" i="7"/>
  <c r="DF152" i="7"/>
  <c r="DE152" i="7"/>
  <c r="DD152" i="7"/>
  <c r="DC152" i="7"/>
  <c r="DB152" i="7"/>
  <c r="DA152" i="7"/>
  <c r="CZ152" i="7"/>
  <c r="CY152" i="7"/>
  <c r="CX152" i="7"/>
  <c r="CW152" i="7"/>
  <c r="CV152" i="7"/>
  <c r="CU152" i="7"/>
  <c r="CT152" i="7"/>
  <c r="CS152" i="7"/>
  <c r="CR152" i="7"/>
  <c r="CQ152" i="7"/>
  <c r="CP152" i="7"/>
  <c r="CO152" i="7"/>
  <c r="CN152" i="7"/>
  <c r="CM152" i="7"/>
  <c r="CL152" i="7"/>
  <c r="BS152" i="7"/>
  <c r="BU152" i="7" s="1"/>
  <c r="BK152" i="7"/>
  <c r="BM152" i="7" s="1"/>
  <c r="BO152" i="7" s="1"/>
  <c r="AO152" i="7"/>
  <c r="AN152" i="7"/>
  <c r="AU152" i="7" s="1"/>
  <c r="AJ152" i="7"/>
  <c r="Z152" i="7"/>
  <c r="R152" i="7"/>
  <c r="FI151" i="7"/>
  <c r="FG151" i="7"/>
  <c r="FF151" i="7"/>
  <c r="FD151" i="7"/>
  <c r="FC151" i="7"/>
  <c r="EX151" i="7"/>
  <c r="EW151" i="7"/>
  <c r="EV151" i="7"/>
  <c r="EK151" i="7"/>
  <c r="EJ151" i="7"/>
  <c r="EI151" i="7"/>
  <c r="EH151" i="7"/>
  <c r="EG151" i="7"/>
  <c r="EF151" i="7"/>
  <c r="EE151" i="7"/>
  <c r="ED151" i="7"/>
  <c r="EC151" i="7"/>
  <c r="EB151" i="7"/>
  <c r="EA151" i="7"/>
  <c r="DZ151" i="7"/>
  <c r="DY151" i="7"/>
  <c r="DX151" i="7"/>
  <c r="DW151" i="7"/>
  <c r="DV151" i="7"/>
  <c r="DU151" i="7"/>
  <c r="DT151" i="7"/>
  <c r="DS151" i="7"/>
  <c r="DR151" i="7"/>
  <c r="DQ151" i="7"/>
  <c r="DP151" i="7"/>
  <c r="DO151" i="7"/>
  <c r="DN151" i="7"/>
  <c r="DM151" i="7"/>
  <c r="DL151" i="7"/>
  <c r="DK151" i="7"/>
  <c r="DJ151" i="7"/>
  <c r="DI151" i="7"/>
  <c r="DH151" i="7"/>
  <c r="DG151" i="7"/>
  <c r="DF151" i="7"/>
  <c r="DE151" i="7"/>
  <c r="DD151" i="7"/>
  <c r="DC151" i="7"/>
  <c r="DB151" i="7"/>
  <c r="DA151" i="7"/>
  <c r="CZ151" i="7"/>
  <c r="CY151" i="7"/>
  <c r="CX151" i="7"/>
  <c r="CW151" i="7"/>
  <c r="CV151" i="7"/>
  <c r="CU151" i="7"/>
  <c r="CT151" i="7"/>
  <c r="CS151" i="7"/>
  <c r="CR151" i="7"/>
  <c r="CQ151" i="7"/>
  <c r="CP151" i="7"/>
  <c r="CO151" i="7"/>
  <c r="CN151" i="7"/>
  <c r="CM151" i="7"/>
  <c r="CL151" i="7"/>
  <c r="BS151" i="7"/>
  <c r="BU151" i="7" s="1"/>
  <c r="BK151" i="7"/>
  <c r="BM151" i="7" s="1"/>
  <c r="BO151" i="7" s="1"/>
  <c r="AO151" i="7"/>
  <c r="AN151" i="7"/>
  <c r="AJ151" i="7"/>
  <c r="Z151" i="7"/>
  <c r="R151" i="7"/>
  <c r="FI150" i="7"/>
  <c r="FG150" i="7"/>
  <c r="FD150" i="7"/>
  <c r="EX150" i="7"/>
  <c r="EW150" i="7"/>
  <c r="EV150" i="7"/>
  <c r="EK150" i="7"/>
  <c r="EJ150" i="7"/>
  <c r="EI150" i="7"/>
  <c r="EH150" i="7"/>
  <c r="EG150" i="7"/>
  <c r="EF150" i="7"/>
  <c r="EE150" i="7"/>
  <c r="ED150" i="7"/>
  <c r="EC150" i="7"/>
  <c r="EB150" i="7"/>
  <c r="EA150" i="7"/>
  <c r="DZ150" i="7"/>
  <c r="DY150" i="7"/>
  <c r="DX150" i="7"/>
  <c r="DW150" i="7"/>
  <c r="DV150" i="7"/>
  <c r="DU150" i="7"/>
  <c r="DT150" i="7"/>
  <c r="DS150" i="7"/>
  <c r="DR150" i="7"/>
  <c r="DQ150" i="7"/>
  <c r="DP150" i="7"/>
  <c r="DO150" i="7"/>
  <c r="DN150" i="7"/>
  <c r="DM150" i="7"/>
  <c r="DL150" i="7"/>
  <c r="DK150" i="7"/>
  <c r="DJ150" i="7"/>
  <c r="DI150" i="7"/>
  <c r="DH150" i="7"/>
  <c r="DG150" i="7"/>
  <c r="DF150" i="7"/>
  <c r="DE150" i="7"/>
  <c r="DD150" i="7"/>
  <c r="DC150" i="7"/>
  <c r="DB150" i="7"/>
  <c r="DA150" i="7"/>
  <c r="CZ150" i="7"/>
  <c r="CY150" i="7"/>
  <c r="CX150" i="7"/>
  <c r="CW150" i="7"/>
  <c r="CV150" i="7"/>
  <c r="CU150" i="7"/>
  <c r="CT150" i="7"/>
  <c r="CS150" i="7"/>
  <c r="CR150" i="7"/>
  <c r="CQ150" i="7"/>
  <c r="CP150" i="7"/>
  <c r="CO150" i="7"/>
  <c r="CN150" i="7"/>
  <c r="CM150" i="7"/>
  <c r="CL150" i="7"/>
  <c r="BS150" i="7"/>
  <c r="BU150" i="7" s="1"/>
  <c r="AO150" i="7"/>
  <c r="FE150" i="7" s="1"/>
  <c r="AN150" i="7"/>
  <c r="FB150" i="7" s="1"/>
  <c r="AJ150" i="7"/>
  <c r="Z150" i="7"/>
  <c r="R150" i="7"/>
  <c r="FI149" i="7"/>
  <c r="FG149" i="7"/>
  <c r="FD149" i="7"/>
  <c r="EX149" i="7"/>
  <c r="EW149" i="7"/>
  <c r="EV149" i="7"/>
  <c r="EK149" i="7"/>
  <c r="EJ149" i="7"/>
  <c r="EI149" i="7"/>
  <c r="EH149" i="7"/>
  <c r="EG149" i="7"/>
  <c r="EF149" i="7"/>
  <c r="EE149" i="7"/>
  <c r="ED149" i="7"/>
  <c r="EC149" i="7"/>
  <c r="EB149" i="7"/>
  <c r="EA149" i="7"/>
  <c r="DZ149" i="7"/>
  <c r="DY149" i="7"/>
  <c r="DX149" i="7"/>
  <c r="DW149" i="7"/>
  <c r="DV149" i="7"/>
  <c r="DU149" i="7"/>
  <c r="DT149" i="7"/>
  <c r="DS149" i="7"/>
  <c r="DR149" i="7"/>
  <c r="DQ149" i="7"/>
  <c r="DP149" i="7"/>
  <c r="DO149" i="7"/>
  <c r="DN149" i="7"/>
  <c r="DM149" i="7"/>
  <c r="DL149" i="7"/>
  <c r="DK149" i="7"/>
  <c r="DJ149" i="7"/>
  <c r="DI149" i="7"/>
  <c r="DH149" i="7"/>
  <c r="DG149" i="7"/>
  <c r="DF149" i="7"/>
  <c r="DE149" i="7"/>
  <c r="DD149" i="7"/>
  <c r="DC149" i="7"/>
  <c r="DB149" i="7"/>
  <c r="DA149" i="7"/>
  <c r="CZ149" i="7"/>
  <c r="CY149" i="7"/>
  <c r="CX149" i="7"/>
  <c r="CW149" i="7"/>
  <c r="CV149" i="7"/>
  <c r="CU149" i="7"/>
  <c r="CT149" i="7"/>
  <c r="CS149" i="7"/>
  <c r="CR149" i="7"/>
  <c r="CQ149" i="7"/>
  <c r="CP149" i="7"/>
  <c r="CO149" i="7"/>
  <c r="CN149" i="7"/>
  <c r="CM149" i="7"/>
  <c r="CL149" i="7"/>
  <c r="BS149" i="7"/>
  <c r="BU149" i="7" s="1"/>
  <c r="AO149" i="7"/>
  <c r="EY149" i="7" s="1"/>
  <c r="AN149" i="7"/>
  <c r="AJ149" i="7"/>
  <c r="Z149" i="7"/>
  <c r="R149" i="7"/>
  <c r="FI148" i="7"/>
  <c r="FG148" i="7"/>
  <c r="FD148" i="7"/>
  <c r="EX148" i="7"/>
  <c r="EW148" i="7"/>
  <c r="EV148" i="7"/>
  <c r="EK148" i="7"/>
  <c r="EJ148" i="7"/>
  <c r="EI148" i="7"/>
  <c r="EH148" i="7"/>
  <c r="EG148" i="7"/>
  <c r="EF148" i="7"/>
  <c r="EE148" i="7"/>
  <c r="ED148" i="7"/>
  <c r="EC148" i="7"/>
  <c r="EB148" i="7"/>
  <c r="EA148" i="7"/>
  <c r="DZ148" i="7"/>
  <c r="DY148" i="7"/>
  <c r="DX148" i="7"/>
  <c r="DW148" i="7"/>
  <c r="DV148" i="7"/>
  <c r="DU148" i="7"/>
  <c r="DT148" i="7"/>
  <c r="DS148" i="7"/>
  <c r="DR148" i="7"/>
  <c r="DQ148" i="7"/>
  <c r="DP148" i="7"/>
  <c r="DO148" i="7"/>
  <c r="DN148" i="7"/>
  <c r="DM148" i="7"/>
  <c r="DL148" i="7"/>
  <c r="DK148" i="7"/>
  <c r="DJ148" i="7"/>
  <c r="DI148" i="7"/>
  <c r="DH148" i="7"/>
  <c r="DG148" i="7"/>
  <c r="DF148" i="7"/>
  <c r="DE148" i="7"/>
  <c r="DD148" i="7"/>
  <c r="DC148" i="7"/>
  <c r="DB148" i="7"/>
  <c r="DA148" i="7"/>
  <c r="CZ148" i="7"/>
  <c r="CY148" i="7"/>
  <c r="CX148" i="7"/>
  <c r="CW148" i="7"/>
  <c r="CV148" i="7"/>
  <c r="CU148" i="7"/>
  <c r="CT148" i="7"/>
  <c r="CS148" i="7"/>
  <c r="CR148" i="7"/>
  <c r="CQ148" i="7"/>
  <c r="CP148" i="7"/>
  <c r="CO148" i="7"/>
  <c r="CN148" i="7"/>
  <c r="CM148" i="7"/>
  <c r="CL148" i="7"/>
  <c r="BS148" i="7"/>
  <c r="BU148" i="7" s="1"/>
  <c r="AO148" i="7"/>
  <c r="FA148" i="7" s="1"/>
  <c r="AN148" i="7"/>
  <c r="FB148" i="7" s="1"/>
  <c r="AJ148" i="7"/>
  <c r="Z148" i="7"/>
  <c r="R148" i="7"/>
  <c r="FI147" i="7"/>
  <c r="FG147" i="7"/>
  <c r="FD147" i="7"/>
  <c r="EX147" i="7"/>
  <c r="EW147" i="7"/>
  <c r="EV147" i="7"/>
  <c r="EK147" i="7"/>
  <c r="EJ147" i="7"/>
  <c r="EI147" i="7"/>
  <c r="EH147" i="7"/>
  <c r="EG147" i="7"/>
  <c r="EF147" i="7"/>
  <c r="EE147" i="7"/>
  <c r="ED147" i="7"/>
  <c r="EC147" i="7"/>
  <c r="EB147" i="7"/>
  <c r="EA147" i="7"/>
  <c r="DZ147" i="7"/>
  <c r="DY147" i="7"/>
  <c r="DX147" i="7"/>
  <c r="DW147" i="7"/>
  <c r="DV147" i="7"/>
  <c r="DU147" i="7"/>
  <c r="DT147" i="7"/>
  <c r="DS147" i="7"/>
  <c r="DR147" i="7"/>
  <c r="DQ147" i="7"/>
  <c r="DP147" i="7"/>
  <c r="DO147" i="7"/>
  <c r="DN147" i="7"/>
  <c r="DM147" i="7"/>
  <c r="DL147" i="7"/>
  <c r="DK147" i="7"/>
  <c r="DJ147" i="7"/>
  <c r="DI147" i="7"/>
  <c r="DH147" i="7"/>
  <c r="DG147" i="7"/>
  <c r="DF147" i="7"/>
  <c r="DE147" i="7"/>
  <c r="DD147" i="7"/>
  <c r="DC147" i="7"/>
  <c r="DB147" i="7"/>
  <c r="DA147" i="7"/>
  <c r="CZ147" i="7"/>
  <c r="CY147" i="7"/>
  <c r="CX147" i="7"/>
  <c r="CW147" i="7"/>
  <c r="CV147" i="7"/>
  <c r="CU147" i="7"/>
  <c r="CT147" i="7"/>
  <c r="CS147" i="7"/>
  <c r="CR147" i="7"/>
  <c r="CQ147" i="7"/>
  <c r="CP147" i="7"/>
  <c r="CO147" i="7"/>
  <c r="CN147" i="7"/>
  <c r="CM147" i="7"/>
  <c r="CL147" i="7"/>
  <c r="BS147" i="7"/>
  <c r="BU147" i="7" s="1"/>
  <c r="AO147" i="7"/>
  <c r="AN147" i="7"/>
  <c r="AU147" i="7" s="1"/>
  <c r="AJ147" i="7"/>
  <c r="Z147" i="7"/>
  <c r="R147" i="7"/>
  <c r="FI146" i="7"/>
  <c r="FG146" i="7"/>
  <c r="FD146" i="7"/>
  <c r="EX146" i="7"/>
  <c r="EW146" i="7"/>
  <c r="EV146" i="7"/>
  <c r="EK146" i="7"/>
  <c r="EJ146" i="7"/>
  <c r="EI146" i="7"/>
  <c r="EH146" i="7"/>
  <c r="EG146" i="7"/>
  <c r="EF146" i="7"/>
  <c r="EE146" i="7"/>
  <c r="ED146" i="7"/>
  <c r="EC146" i="7"/>
  <c r="EB146" i="7"/>
  <c r="EA146" i="7"/>
  <c r="DZ146" i="7"/>
  <c r="DY146" i="7"/>
  <c r="DX146" i="7"/>
  <c r="DW146" i="7"/>
  <c r="DV146" i="7"/>
  <c r="DU146" i="7"/>
  <c r="DT146" i="7"/>
  <c r="DS146" i="7"/>
  <c r="DR146" i="7"/>
  <c r="DQ146" i="7"/>
  <c r="DP146" i="7"/>
  <c r="DO146" i="7"/>
  <c r="DN146" i="7"/>
  <c r="DM146" i="7"/>
  <c r="DL146" i="7"/>
  <c r="DK146" i="7"/>
  <c r="DJ146" i="7"/>
  <c r="DI146" i="7"/>
  <c r="DH146" i="7"/>
  <c r="DG146" i="7"/>
  <c r="DF146" i="7"/>
  <c r="DE146" i="7"/>
  <c r="DD146" i="7"/>
  <c r="DC146" i="7"/>
  <c r="DB146" i="7"/>
  <c r="DA146" i="7"/>
  <c r="CZ146" i="7"/>
  <c r="CY146" i="7"/>
  <c r="CX146" i="7"/>
  <c r="CW146" i="7"/>
  <c r="CV146" i="7"/>
  <c r="CU146" i="7"/>
  <c r="CT146" i="7"/>
  <c r="CS146" i="7"/>
  <c r="CR146" i="7"/>
  <c r="CQ146" i="7"/>
  <c r="CP146" i="7"/>
  <c r="CO146" i="7"/>
  <c r="CN146" i="7"/>
  <c r="CM146" i="7"/>
  <c r="CL146" i="7"/>
  <c r="BS146" i="7"/>
  <c r="BU146" i="7" s="1"/>
  <c r="AO146" i="7"/>
  <c r="AN146" i="7"/>
  <c r="AJ146" i="7"/>
  <c r="Z146" i="7"/>
  <c r="R146" i="7"/>
  <c r="FI145" i="7"/>
  <c r="FG145" i="7"/>
  <c r="FD145" i="7"/>
  <c r="EX145" i="7"/>
  <c r="EW145" i="7"/>
  <c r="EV145" i="7"/>
  <c r="EK145" i="7"/>
  <c r="EJ145" i="7"/>
  <c r="EI145" i="7"/>
  <c r="EH145" i="7"/>
  <c r="EG145" i="7"/>
  <c r="EF145" i="7"/>
  <c r="EE145" i="7"/>
  <c r="ED145" i="7"/>
  <c r="EC145" i="7"/>
  <c r="EB145" i="7"/>
  <c r="EA145" i="7"/>
  <c r="DZ145" i="7"/>
  <c r="DY145" i="7"/>
  <c r="DX145" i="7"/>
  <c r="DW145" i="7"/>
  <c r="DV145" i="7"/>
  <c r="DU145" i="7"/>
  <c r="DT145" i="7"/>
  <c r="DS145" i="7"/>
  <c r="DR145" i="7"/>
  <c r="DQ145" i="7"/>
  <c r="DP145" i="7"/>
  <c r="DO145" i="7"/>
  <c r="DN145" i="7"/>
  <c r="DM145" i="7"/>
  <c r="DL145" i="7"/>
  <c r="DK145" i="7"/>
  <c r="DJ145" i="7"/>
  <c r="DI145" i="7"/>
  <c r="DH145" i="7"/>
  <c r="DG145" i="7"/>
  <c r="DF145" i="7"/>
  <c r="DE145" i="7"/>
  <c r="DD145" i="7"/>
  <c r="DC145" i="7"/>
  <c r="DB145" i="7"/>
  <c r="DA145" i="7"/>
  <c r="CZ145" i="7"/>
  <c r="CY145" i="7"/>
  <c r="CX145" i="7"/>
  <c r="CW145" i="7"/>
  <c r="CV145" i="7"/>
  <c r="CU145" i="7"/>
  <c r="CT145" i="7"/>
  <c r="CS145" i="7"/>
  <c r="CR145" i="7"/>
  <c r="CQ145" i="7"/>
  <c r="CP145" i="7"/>
  <c r="CO145" i="7"/>
  <c r="CN145" i="7"/>
  <c r="CM145" i="7"/>
  <c r="CL145" i="7"/>
  <c r="BS145" i="7"/>
  <c r="BU145" i="7" s="1"/>
  <c r="AO145" i="7"/>
  <c r="BK145" i="7" s="1"/>
  <c r="BM145" i="7" s="1"/>
  <c r="BO145" i="7" s="1"/>
  <c r="AN145" i="7"/>
  <c r="FB145" i="7" s="1"/>
  <c r="AJ145" i="7"/>
  <c r="Z145" i="7"/>
  <c r="R145" i="7"/>
  <c r="FI144" i="7"/>
  <c r="FG144" i="7"/>
  <c r="FD144" i="7"/>
  <c r="EX144" i="7"/>
  <c r="EW144" i="7"/>
  <c r="EV144" i="7"/>
  <c r="EK144" i="7"/>
  <c r="EJ144" i="7"/>
  <c r="EI144" i="7"/>
  <c r="EH144" i="7"/>
  <c r="EG144" i="7"/>
  <c r="EF144" i="7"/>
  <c r="EE144" i="7"/>
  <c r="ED144" i="7"/>
  <c r="EC144" i="7"/>
  <c r="EB144" i="7"/>
  <c r="EA144" i="7"/>
  <c r="DZ144" i="7"/>
  <c r="DY144" i="7"/>
  <c r="DX144" i="7"/>
  <c r="DW144" i="7"/>
  <c r="DV144" i="7"/>
  <c r="DU144" i="7"/>
  <c r="DT144" i="7"/>
  <c r="DS144" i="7"/>
  <c r="DR144" i="7"/>
  <c r="DQ144" i="7"/>
  <c r="DP144" i="7"/>
  <c r="DO144" i="7"/>
  <c r="DN144" i="7"/>
  <c r="DM144" i="7"/>
  <c r="DL144" i="7"/>
  <c r="DK144" i="7"/>
  <c r="DJ144" i="7"/>
  <c r="DI144" i="7"/>
  <c r="DH144" i="7"/>
  <c r="DG144" i="7"/>
  <c r="DF144" i="7"/>
  <c r="DE144" i="7"/>
  <c r="DD144" i="7"/>
  <c r="DC144" i="7"/>
  <c r="DB144" i="7"/>
  <c r="DA144" i="7"/>
  <c r="CZ144" i="7"/>
  <c r="CY144" i="7"/>
  <c r="CX144" i="7"/>
  <c r="CW144" i="7"/>
  <c r="CV144" i="7"/>
  <c r="CU144" i="7"/>
  <c r="CT144" i="7"/>
  <c r="CS144" i="7"/>
  <c r="CR144" i="7"/>
  <c r="CQ144" i="7"/>
  <c r="CP144" i="7"/>
  <c r="CO144" i="7"/>
  <c r="CN144" i="7"/>
  <c r="CM144" i="7"/>
  <c r="CL144" i="7"/>
  <c r="BS144" i="7"/>
  <c r="BU144" i="7" s="1"/>
  <c r="AO144" i="7"/>
  <c r="AN144" i="7"/>
  <c r="AJ144" i="7"/>
  <c r="Z144" i="7"/>
  <c r="R144" i="7"/>
  <c r="FI143" i="7"/>
  <c r="FG143" i="7"/>
  <c r="FD143" i="7"/>
  <c r="EX143" i="7"/>
  <c r="EW143" i="7"/>
  <c r="EV143" i="7"/>
  <c r="EK143" i="7"/>
  <c r="EJ143" i="7"/>
  <c r="EI143" i="7"/>
  <c r="EH143" i="7"/>
  <c r="EG143" i="7"/>
  <c r="EF143" i="7"/>
  <c r="EE143" i="7"/>
  <c r="ED143" i="7"/>
  <c r="EC143" i="7"/>
  <c r="EB143" i="7"/>
  <c r="EA143" i="7"/>
  <c r="DZ143" i="7"/>
  <c r="DY143" i="7"/>
  <c r="DX143" i="7"/>
  <c r="DW143" i="7"/>
  <c r="DV143" i="7"/>
  <c r="DU143" i="7"/>
  <c r="DT143" i="7"/>
  <c r="DS143" i="7"/>
  <c r="DR143" i="7"/>
  <c r="DQ143" i="7"/>
  <c r="DP143" i="7"/>
  <c r="DO143" i="7"/>
  <c r="DN143" i="7"/>
  <c r="DM143" i="7"/>
  <c r="DL143" i="7"/>
  <c r="DK143" i="7"/>
  <c r="DJ143" i="7"/>
  <c r="DI143" i="7"/>
  <c r="DH143" i="7"/>
  <c r="DG143" i="7"/>
  <c r="DF143" i="7"/>
  <c r="DE143" i="7"/>
  <c r="DD143" i="7"/>
  <c r="DC143" i="7"/>
  <c r="DB143" i="7"/>
  <c r="DA143" i="7"/>
  <c r="CZ143" i="7"/>
  <c r="CY143" i="7"/>
  <c r="CX143" i="7"/>
  <c r="CW143" i="7"/>
  <c r="CV143" i="7"/>
  <c r="CU143" i="7"/>
  <c r="CT143" i="7"/>
  <c r="CS143" i="7"/>
  <c r="CR143" i="7"/>
  <c r="CQ143" i="7"/>
  <c r="CP143" i="7"/>
  <c r="CO143" i="7"/>
  <c r="CN143" i="7"/>
  <c r="CM143" i="7"/>
  <c r="CL143" i="7"/>
  <c r="BS143" i="7"/>
  <c r="BU143" i="7" s="1"/>
  <c r="AO143" i="7"/>
  <c r="FA143" i="7" s="1"/>
  <c r="AN143" i="7"/>
  <c r="AU143" i="7" s="1"/>
  <c r="AJ143" i="7"/>
  <c r="Z143" i="7"/>
  <c r="R143" i="7"/>
  <c r="FI142" i="7"/>
  <c r="FG142" i="7"/>
  <c r="FF142" i="7"/>
  <c r="FD142" i="7"/>
  <c r="EX142" i="7"/>
  <c r="EW142" i="7"/>
  <c r="EV142" i="7"/>
  <c r="EK142" i="7"/>
  <c r="EJ142" i="7"/>
  <c r="EI142" i="7"/>
  <c r="EH142" i="7"/>
  <c r="EG142" i="7"/>
  <c r="EF142" i="7"/>
  <c r="EE142" i="7"/>
  <c r="ED142" i="7"/>
  <c r="EC142" i="7"/>
  <c r="EB142" i="7"/>
  <c r="EA142" i="7"/>
  <c r="DZ142" i="7"/>
  <c r="DY142" i="7"/>
  <c r="DX142" i="7"/>
  <c r="DW142" i="7"/>
  <c r="DV142" i="7"/>
  <c r="DU142" i="7"/>
  <c r="DT142" i="7"/>
  <c r="DS142" i="7"/>
  <c r="DR142" i="7"/>
  <c r="DQ142" i="7"/>
  <c r="DP142" i="7"/>
  <c r="DO142" i="7"/>
  <c r="DN142" i="7"/>
  <c r="DM142" i="7"/>
  <c r="DL142" i="7"/>
  <c r="DK142" i="7"/>
  <c r="DJ142" i="7"/>
  <c r="DI142" i="7"/>
  <c r="DH142" i="7"/>
  <c r="DG142" i="7"/>
  <c r="DF142" i="7"/>
  <c r="DE142" i="7"/>
  <c r="DD142" i="7"/>
  <c r="DC142" i="7"/>
  <c r="DB142" i="7"/>
  <c r="DA142" i="7"/>
  <c r="CZ142" i="7"/>
  <c r="CY142" i="7"/>
  <c r="CX142" i="7"/>
  <c r="CW142" i="7"/>
  <c r="CV142" i="7"/>
  <c r="CU142" i="7"/>
  <c r="CT142" i="7"/>
  <c r="CS142" i="7"/>
  <c r="CR142" i="7"/>
  <c r="CQ142" i="7"/>
  <c r="CP142" i="7"/>
  <c r="CO142" i="7"/>
  <c r="CN142" i="7"/>
  <c r="CM142" i="7"/>
  <c r="CL142" i="7"/>
  <c r="BS142" i="7"/>
  <c r="BU142" i="7" s="1"/>
  <c r="AO142" i="7"/>
  <c r="FA142" i="7" s="1"/>
  <c r="AN142" i="7"/>
  <c r="FH142" i="7" s="1"/>
  <c r="AJ142" i="7"/>
  <c r="Z142" i="7"/>
  <c r="R142" i="7"/>
  <c r="FI141" i="7"/>
  <c r="FG141" i="7"/>
  <c r="FF141" i="7"/>
  <c r="FD141" i="7"/>
  <c r="EX141" i="7"/>
  <c r="EW141" i="7"/>
  <c r="EV141" i="7"/>
  <c r="EK141" i="7"/>
  <c r="EJ141" i="7"/>
  <c r="EI141" i="7"/>
  <c r="EH141" i="7"/>
  <c r="EG141" i="7"/>
  <c r="EF141" i="7"/>
  <c r="EE141" i="7"/>
  <c r="ED141" i="7"/>
  <c r="EC141" i="7"/>
  <c r="EB141" i="7"/>
  <c r="EA141" i="7"/>
  <c r="DZ141" i="7"/>
  <c r="DY141" i="7"/>
  <c r="DX141" i="7"/>
  <c r="DW141" i="7"/>
  <c r="DV141" i="7"/>
  <c r="DU141" i="7"/>
  <c r="DT141" i="7"/>
  <c r="DS141" i="7"/>
  <c r="DR141" i="7"/>
  <c r="DQ141" i="7"/>
  <c r="DP141" i="7"/>
  <c r="DO141" i="7"/>
  <c r="DN141" i="7"/>
  <c r="DM141" i="7"/>
  <c r="DL141" i="7"/>
  <c r="DK141" i="7"/>
  <c r="DJ141" i="7"/>
  <c r="DI141" i="7"/>
  <c r="DH141" i="7"/>
  <c r="DG141" i="7"/>
  <c r="DF141" i="7"/>
  <c r="DE141" i="7"/>
  <c r="DD141" i="7"/>
  <c r="DC141" i="7"/>
  <c r="DB141" i="7"/>
  <c r="DA141" i="7"/>
  <c r="CZ141" i="7"/>
  <c r="CY141" i="7"/>
  <c r="CX141" i="7"/>
  <c r="CW141" i="7"/>
  <c r="CV141" i="7"/>
  <c r="CU141" i="7"/>
  <c r="CT141" i="7"/>
  <c r="CS141" i="7"/>
  <c r="CR141" i="7"/>
  <c r="CQ141" i="7"/>
  <c r="CP141" i="7"/>
  <c r="CO141" i="7"/>
  <c r="CN141" i="7"/>
  <c r="CM141" i="7"/>
  <c r="CL141" i="7"/>
  <c r="BS141" i="7"/>
  <c r="BU141" i="7" s="1"/>
  <c r="AO141" i="7"/>
  <c r="BK141" i="7" s="1"/>
  <c r="BM141" i="7" s="1"/>
  <c r="BO141" i="7" s="1"/>
  <c r="AN141" i="7"/>
  <c r="AJ141" i="7"/>
  <c r="Z141" i="7"/>
  <c r="R141" i="7"/>
  <c r="FI140" i="7"/>
  <c r="FG140" i="7"/>
  <c r="FF140" i="7"/>
  <c r="FD140" i="7"/>
  <c r="EX140" i="7"/>
  <c r="EW140" i="7"/>
  <c r="EV140" i="7"/>
  <c r="EK140" i="7"/>
  <c r="EJ140" i="7"/>
  <c r="EI140" i="7"/>
  <c r="EH140" i="7"/>
  <c r="EG140" i="7"/>
  <c r="EF140" i="7"/>
  <c r="EE140" i="7"/>
  <c r="ED140" i="7"/>
  <c r="EC140" i="7"/>
  <c r="EB140" i="7"/>
  <c r="EA140" i="7"/>
  <c r="DZ140" i="7"/>
  <c r="DY140" i="7"/>
  <c r="DX140" i="7"/>
  <c r="DW140" i="7"/>
  <c r="DV140" i="7"/>
  <c r="DU140" i="7"/>
  <c r="DT140" i="7"/>
  <c r="DS140" i="7"/>
  <c r="DR140" i="7"/>
  <c r="DQ140" i="7"/>
  <c r="DP140" i="7"/>
  <c r="DO140" i="7"/>
  <c r="DN140" i="7"/>
  <c r="DM140" i="7"/>
  <c r="DL140" i="7"/>
  <c r="DK140" i="7"/>
  <c r="DJ140" i="7"/>
  <c r="DI140" i="7"/>
  <c r="DH140" i="7"/>
  <c r="DG140" i="7"/>
  <c r="DF140" i="7"/>
  <c r="DE140" i="7"/>
  <c r="DD140" i="7"/>
  <c r="DC140" i="7"/>
  <c r="DB140" i="7"/>
  <c r="DA140" i="7"/>
  <c r="CZ140" i="7"/>
  <c r="CY140" i="7"/>
  <c r="CX140" i="7"/>
  <c r="CW140" i="7"/>
  <c r="CV140" i="7"/>
  <c r="CU140" i="7"/>
  <c r="CT140" i="7"/>
  <c r="CS140" i="7"/>
  <c r="CR140" i="7"/>
  <c r="CQ140" i="7"/>
  <c r="CP140" i="7"/>
  <c r="CO140" i="7"/>
  <c r="CN140" i="7"/>
  <c r="CM140" i="7"/>
  <c r="CL140" i="7"/>
  <c r="BS140" i="7"/>
  <c r="BU140" i="7" s="1"/>
  <c r="AO140" i="7"/>
  <c r="FE140" i="7" s="1"/>
  <c r="AN140" i="7"/>
  <c r="FB140" i="7" s="1"/>
  <c r="AJ140" i="7"/>
  <c r="Z140" i="7"/>
  <c r="R140" i="7"/>
  <c r="FI139" i="7"/>
  <c r="FG139" i="7"/>
  <c r="FD139" i="7"/>
  <c r="EX139" i="7"/>
  <c r="EW139" i="7"/>
  <c r="EV139" i="7"/>
  <c r="EK139" i="7"/>
  <c r="EJ139" i="7"/>
  <c r="EI139" i="7"/>
  <c r="EH139" i="7"/>
  <c r="EG139" i="7"/>
  <c r="EF139" i="7"/>
  <c r="EE139" i="7"/>
  <c r="ED139" i="7"/>
  <c r="EC139" i="7"/>
  <c r="EB139" i="7"/>
  <c r="EA139" i="7"/>
  <c r="DZ139" i="7"/>
  <c r="DY139" i="7"/>
  <c r="DX139" i="7"/>
  <c r="DW139" i="7"/>
  <c r="DV139" i="7"/>
  <c r="DU139" i="7"/>
  <c r="DT139" i="7"/>
  <c r="DS139" i="7"/>
  <c r="DR139" i="7"/>
  <c r="DQ139" i="7"/>
  <c r="DP139" i="7"/>
  <c r="DO139" i="7"/>
  <c r="DN139" i="7"/>
  <c r="DM139" i="7"/>
  <c r="DL139" i="7"/>
  <c r="DK139" i="7"/>
  <c r="DJ139" i="7"/>
  <c r="DI139" i="7"/>
  <c r="DH139" i="7"/>
  <c r="DG139" i="7"/>
  <c r="DF139" i="7"/>
  <c r="DE139" i="7"/>
  <c r="DD139" i="7"/>
  <c r="DC139" i="7"/>
  <c r="DB139" i="7"/>
  <c r="DA139" i="7"/>
  <c r="CZ139" i="7"/>
  <c r="CY139" i="7"/>
  <c r="CX139" i="7"/>
  <c r="CW139" i="7"/>
  <c r="CV139" i="7"/>
  <c r="CU139" i="7"/>
  <c r="CT139" i="7"/>
  <c r="CS139" i="7"/>
  <c r="CR139" i="7"/>
  <c r="CQ139" i="7"/>
  <c r="CP139" i="7"/>
  <c r="CO139" i="7"/>
  <c r="CN139" i="7"/>
  <c r="CM139" i="7"/>
  <c r="CL139" i="7"/>
  <c r="BS139" i="7"/>
  <c r="BU139" i="7" s="1"/>
  <c r="AO139" i="7"/>
  <c r="AN139" i="7"/>
  <c r="AJ139" i="7"/>
  <c r="Z139" i="7"/>
  <c r="R139" i="7"/>
  <c r="FI138" i="7"/>
  <c r="FG138" i="7"/>
  <c r="FD138" i="7"/>
  <c r="EX138" i="7"/>
  <c r="EW138" i="7"/>
  <c r="EV138" i="7"/>
  <c r="EK138" i="7"/>
  <c r="EJ138" i="7"/>
  <c r="EI138" i="7"/>
  <c r="EH138" i="7"/>
  <c r="EG138" i="7"/>
  <c r="EF138" i="7"/>
  <c r="EE138" i="7"/>
  <c r="ED138" i="7"/>
  <c r="EC138" i="7"/>
  <c r="EB138" i="7"/>
  <c r="EA138" i="7"/>
  <c r="DZ138" i="7"/>
  <c r="DY138" i="7"/>
  <c r="DX138" i="7"/>
  <c r="DW138" i="7"/>
  <c r="DV138" i="7"/>
  <c r="DU138" i="7"/>
  <c r="DT138" i="7"/>
  <c r="DS138" i="7"/>
  <c r="DR138" i="7"/>
  <c r="DQ138" i="7"/>
  <c r="DP138" i="7"/>
  <c r="DO138" i="7"/>
  <c r="DN138" i="7"/>
  <c r="DM138" i="7"/>
  <c r="DL138" i="7"/>
  <c r="DK138" i="7"/>
  <c r="DJ138" i="7"/>
  <c r="DI138" i="7"/>
  <c r="DH138" i="7"/>
  <c r="DG138" i="7"/>
  <c r="DF138" i="7"/>
  <c r="DE138" i="7"/>
  <c r="DD138" i="7"/>
  <c r="DC138" i="7"/>
  <c r="DB138" i="7"/>
  <c r="DA138" i="7"/>
  <c r="CZ138" i="7"/>
  <c r="CY138" i="7"/>
  <c r="CX138" i="7"/>
  <c r="CW138" i="7"/>
  <c r="CV138" i="7"/>
  <c r="CU138" i="7"/>
  <c r="CT138" i="7"/>
  <c r="CS138" i="7"/>
  <c r="CR138" i="7"/>
  <c r="CQ138" i="7"/>
  <c r="CP138" i="7"/>
  <c r="CO138" i="7"/>
  <c r="CN138" i="7"/>
  <c r="CM138" i="7"/>
  <c r="CL138" i="7"/>
  <c r="BS138" i="7"/>
  <c r="BU138" i="7" s="1"/>
  <c r="AO138" i="7"/>
  <c r="FE138" i="7" s="1"/>
  <c r="AN138" i="7"/>
  <c r="AJ138" i="7"/>
  <c r="Z138" i="7"/>
  <c r="R138" i="7"/>
  <c r="FI137" i="7"/>
  <c r="FG137" i="7"/>
  <c r="FD137" i="7"/>
  <c r="EX137" i="7"/>
  <c r="EW137" i="7"/>
  <c r="EV137" i="7"/>
  <c r="EK137" i="7"/>
  <c r="EJ137" i="7"/>
  <c r="EI137" i="7"/>
  <c r="EH137" i="7"/>
  <c r="EG137" i="7"/>
  <c r="EF137" i="7"/>
  <c r="EE137" i="7"/>
  <c r="ED137" i="7"/>
  <c r="EC137" i="7"/>
  <c r="EB137" i="7"/>
  <c r="EA137" i="7"/>
  <c r="DZ137" i="7"/>
  <c r="DY137" i="7"/>
  <c r="DX137" i="7"/>
  <c r="DW137" i="7"/>
  <c r="DV137" i="7"/>
  <c r="DU137" i="7"/>
  <c r="DT137" i="7"/>
  <c r="DS137" i="7"/>
  <c r="DR137" i="7"/>
  <c r="DQ137" i="7"/>
  <c r="DP137" i="7"/>
  <c r="DO137" i="7"/>
  <c r="DN137" i="7"/>
  <c r="DM137" i="7"/>
  <c r="DL137" i="7"/>
  <c r="DK137" i="7"/>
  <c r="DJ137" i="7"/>
  <c r="DI137" i="7"/>
  <c r="DH137" i="7"/>
  <c r="DG137" i="7"/>
  <c r="DF137" i="7"/>
  <c r="DE137" i="7"/>
  <c r="DD137" i="7"/>
  <c r="DC137" i="7"/>
  <c r="DB137" i="7"/>
  <c r="DA137" i="7"/>
  <c r="CZ137" i="7"/>
  <c r="CY137" i="7"/>
  <c r="CX137" i="7"/>
  <c r="CW137" i="7"/>
  <c r="CV137" i="7"/>
  <c r="CU137" i="7"/>
  <c r="CT137" i="7"/>
  <c r="CS137" i="7"/>
  <c r="CR137" i="7"/>
  <c r="CQ137" i="7"/>
  <c r="CP137" i="7"/>
  <c r="CO137" i="7"/>
  <c r="CN137" i="7"/>
  <c r="CM137" i="7"/>
  <c r="CL137" i="7"/>
  <c r="BS137" i="7"/>
  <c r="BU137" i="7" s="1"/>
  <c r="AO137" i="7"/>
  <c r="FF137" i="7" s="1"/>
  <c r="AN137" i="7"/>
  <c r="FB137" i="7" s="1"/>
  <c r="AJ137" i="7"/>
  <c r="Z137" i="7"/>
  <c r="R137" i="7"/>
  <c r="FI136" i="7"/>
  <c r="FG136" i="7"/>
  <c r="FD136" i="7"/>
  <c r="EX136" i="7"/>
  <c r="EW136" i="7"/>
  <c r="EV136" i="7"/>
  <c r="EK136" i="7"/>
  <c r="EJ136" i="7"/>
  <c r="EI136" i="7"/>
  <c r="EH136" i="7"/>
  <c r="EG136" i="7"/>
  <c r="EF136" i="7"/>
  <c r="EE136" i="7"/>
  <c r="ED136" i="7"/>
  <c r="EC136" i="7"/>
  <c r="EB136" i="7"/>
  <c r="EA136" i="7"/>
  <c r="DZ136" i="7"/>
  <c r="DY136" i="7"/>
  <c r="DX136" i="7"/>
  <c r="DW136" i="7"/>
  <c r="DV136" i="7"/>
  <c r="DU136" i="7"/>
  <c r="DT136" i="7"/>
  <c r="DS136" i="7"/>
  <c r="DR136" i="7"/>
  <c r="DQ136" i="7"/>
  <c r="DP136" i="7"/>
  <c r="DO136" i="7"/>
  <c r="DN136" i="7"/>
  <c r="DM136" i="7"/>
  <c r="DL136" i="7"/>
  <c r="DK136" i="7"/>
  <c r="DJ136" i="7"/>
  <c r="DI136" i="7"/>
  <c r="DH136" i="7"/>
  <c r="DG136" i="7"/>
  <c r="DF136" i="7"/>
  <c r="DE136" i="7"/>
  <c r="DD136" i="7"/>
  <c r="DC136" i="7"/>
  <c r="DB136" i="7"/>
  <c r="DA136" i="7"/>
  <c r="CZ136" i="7"/>
  <c r="CY136" i="7"/>
  <c r="CX136" i="7"/>
  <c r="CW136" i="7"/>
  <c r="CV136" i="7"/>
  <c r="CU136" i="7"/>
  <c r="CT136" i="7"/>
  <c r="CS136" i="7"/>
  <c r="CR136" i="7"/>
  <c r="CQ136" i="7"/>
  <c r="CP136" i="7"/>
  <c r="CO136" i="7"/>
  <c r="CN136" i="7"/>
  <c r="CM136" i="7"/>
  <c r="CL136" i="7"/>
  <c r="BS136" i="7"/>
  <c r="BU136" i="7" s="1"/>
  <c r="AO136" i="7"/>
  <c r="EY136" i="7" s="1"/>
  <c r="AN136" i="7"/>
  <c r="AJ136" i="7"/>
  <c r="Z136" i="7"/>
  <c r="R136" i="7"/>
  <c r="FI135" i="7"/>
  <c r="FG135" i="7"/>
  <c r="FD135" i="7"/>
  <c r="EX135" i="7"/>
  <c r="EW135" i="7"/>
  <c r="EV135" i="7"/>
  <c r="EK135" i="7"/>
  <c r="EJ135" i="7"/>
  <c r="EI135" i="7"/>
  <c r="EH135" i="7"/>
  <c r="EG135" i="7"/>
  <c r="EF135" i="7"/>
  <c r="EE135" i="7"/>
  <c r="ED135" i="7"/>
  <c r="EC135" i="7"/>
  <c r="EB135" i="7"/>
  <c r="EA135" i="7"/>
  <c r="DZ135" i="7"/>
  <c r="DY135" i="7"/>
  <c r="DX135" i="7"/>
  <c r="DW135" i="7"/>
  <c r="DV135" i="7"/>
  <c r="DU135" i="7"/>
  <c r="DT135" i="7"/>
  <c r="DS135" i="7"/>
  <c r="DR135" i="7"/>
  <c r="DQ135" i="7"/>
  <c r="DP135" i="7"/>
  <c r="DO135" i="7"/>
  <c r="DN135" i="7"/>
  <c r="DM135" i="7"/>
  <c r="DL135" i="7"/>
  <c r="DK135" i="7"/>
  <c r="DJ135" i="7"/>
  <c r="DI135" i="7"/>
  <c r="DH135" i="7"/>
  <c r="DG135" i="7"/>
  <c r="DF135" i="7"/>
  <c r="DE135" i="7"/>
  <c r="DD135" i="7"/>
  <c r="DC135" i="7"/>
  <c r="DB135" i="7"/>
  <c r="DA135" i="7"/>
  <c r="CZ135" i="7"/>
  <c r="CY135" i="7"/>
  <c r="CX135" i="7"/>
  <c r="CW135" i="7"/>
  <c r="CV135" i="7"/>
  <c r="CU135" i="7"/>
  <c r="CT135" i="7"/>
  <c r="CS135" i="7"/>
  <c r="CR135" i="7"/>
  <c r="CQ135" i="7"/>
  <c r="CP135" i="7"/>
  <c r="CO135" i="7"/>
  <c r="CN135" i="7"/>
  <c r="CM135" i="7"/>
  <c r="CL135" i="7"/>
  <c r="BS135" i="7"/>
  <c r="BU135" i="7" s="1"/>
  <c r="AO135" i="7"/>
  <c r="EY135" i="7" s="1"/>
  <c r="AN135" i="7"/>
  <c r="AU135" i="7" s="1"/>
  <c r="AJ135" i="7"/>
  <c r="Z135" i="7"/>
  <c r="R135" i="7"/>
  <c r="FI134" i="7"/>
  <c r="FG134" i="7"/>
  <c r="FD134" i="7"/>
  <c r="EX134" i="7"/>
  <c r="EW134" i="7"/>
  <c r="EV134" i="7"/>
  <c r="EK134" i="7"/>
  <c r="EJ134" i="7"/>
  <c r="EI134" i="7"/>
  <c r="EH134" i="7"/>
  <c r="EG134" i="7"/>
  <c r="EF134" i="7"/>
  <c r="EE134" i="7"/>
  <c r="ED134" i="7"/>
  <c r="EC134" i="7"/>
  <c r="EB134" i="7"/>
  <c r="EA134" i="7"/>
  <c r="DZ134" i="7"/>
  <c r="DY134" i="7"/>
  <c r="DX134" i="7"/>
  <c r="DW134" i="7"/>
  <c r="DV134" i="7"/>
  <c r="DU134" i="7"/>
  <c r="DT134" i="7"/>
  <c r="DS134" i="7"/>
  <c r="DR134" i="7"/>
  <c r="DQ134" i="7"/>
  <c r="DP134" i="7"/>
  <c r="DO134" i="7"/>
  <c r="DN134" i="7"/>
  <c r="DM134" i="7"/>
  <c r="DL134" i="7"/>
  <c r="DK134" i="7"/>
  <c r="DJ134" i="7"/>
  <c r="DI134" i="7"/>
  <c r="DH134" i="7"/>
  <c r="DG134" i="7"/>
  <c r="DF134" i="7"/>
  <c r="DE134" i="7"/>
  <c r="DD134" i="7"/>
  <c r="DC134" i="7"/>
  <c r="DB134" i="7"/>
  <c r="DA134" i="7"/>
  <c r="CZ134" i="7"/>
  <c r="CY134" i="7"/>
  <c r="CX134" i="7"/>
  <c r="CW134" i="7"/>
  <c r="CV134" i="7"/>
  <c r="CU134" i="7"/>
  <c r="CT134" i="7"/>
  <c r="CS134" i="7"/>
  <c r="CR134" i="7"/>
  <c r="CQ134" i="7"/>
  <c r="CP134" i="7"/>
  <c r="CO134" i="7"/>
  <c r="CN134" i="7"/>
  <c r="CM134" i="7"/>
  <c r="CL134" i="7"/>
  <c r="BS134" i="7"/>
  <c r="BU134" i="7" s="1"/>
  <c r="AO134" i="7"/>
  <c r="AN134" i="7"/>
  <c r="AJ134" i="7"/>
  <c r="Z134" i="7"/>
  <c r="R134" i="7"/>
  <c r="FI133" i="7"/>
  <c r="FG133" i="7"/>
  <c r="FD133" i="7"/>
  <c r="EX133" i="7"/>
  <c r="EW133" i="7"/>
  <c r="EV133" i="7"/>
  <c r="EK133" i="7"/>
  <c r="EJ133" i="7"/>
  <c r="EI133" i="7"/>
  <c r="EH133" i="7"/>
  <c r="EG133" i="7"/>
  <c r="EF133" i="7"/>
  <c r="EE133" i="7"/>
  <c r="ED133" i="7"/>
  <c r="EC133" i="7"/>
  <c r="EB133" i="7"/>
  <c r="EA133" i="7"/>
  <c r="DZ133" i="7"/>
  <c r="DY133" i="7"/>
  <c r="DX133" i="7"/>
  <c r="DW133" i="7"/>
  <c r="DV133" i="7"/>
  <c r="DU133" i="7"/>
  <c r="DT133" i="7"/>
  <c r="DS133" i="7"/>
  <c r="DR133" i="7"/>
  <c r="DQ133" i="7"/>
  <c r="DP133" i="7"/>
  <c r="DO133" i="7"/>
  <c r="DN133" i="7"/>
  <c r="DM133" i="7"/>
  <c r="DL133" i="7"/>
  <c r="DK133" i="7"/>
  <c r="DJ133" i="7"/>
  <c r="DI133" i="7"/>
  <c r="DH133" i="7"/>
  <c r="DG133" i="7"/>
  <c r="DF133" i="7"/>
  <c r="DE133" i="7"/>
  <c r="DD133" i="7"/>
  <c r="DC133" i="7"/>
  <c r="DB133" i="7"/>
  <c r="DA133" i="7"/>
  <c r="CZ133" i="7"/>
  <c r="CY133" i="7"/>
  <c r="CX133" i="7"/>
  <c r="CW133" i="7"/>
  <c r="CV133" i="7"/>
  <c r="CU133" i="7"/>
  <c r="CT133" i="7"/>
  <c r="CS133" i="7"/>
  <c r="CR133" i="7"/>
  <c r="CQ133" i="7"/>
  <c r="CP133" i="7"/>
  <c r="CO133" i="7"/>
  <c r="CN133" i="7"/>
  <c r="CM133" i="7"/>
  <c r="CL133" i="7"/>
  <c r="BS133" i="7"/>
  <c r="BU133" i="7" s="1"/>
  <c r="AO133" i="7"/>
  <c r="EY133" i="7" s="1"/>
  <c r="AN133" i="7"/>
  <c r="AU133" i="7" s="1"/>
  <c r="AJ133" i="7"/>
  <c r="Z133" i="7"/>
  <c r="R133" i="7"/>
  <c r="FI132" i="7"/>
  <c r="FG132" i="7"/>
  <c r="FD132" i="7"/>
  <c r="EX132" i="7"/>
  <c r="EW132" i="7"/>
  <c r="EV132" i="7"/>
  <c r="EK132" i="7"/>
  <c r="EJ132" i="7"/>
  <c r="EI132" i="7"/>
  <c r="EH132" i="7"/>
  <c r="EG132" i="7"/>
  <c r="EF132" i="7"/>
  <c r="EE132" i="7"/>
  <c r="ED132" i="7"/>
  <c r="EC132" i="7"/>
  <c r="EB132" i="7"/>
  <c r="EA132" i="7"/>
  <c r="DZ132" i="7"/>
  <c r="DY132" i="7"/>
  <c r="DX132" i="7"/>
  <c r="DW132" i="7"/>
  <c r="DV132" i="7"/>
  <c r="DU132" i="7"/>
  <c r="DT132" i="7"/>
  <c r="DS132" i="7"/>
  <c r="DR132" i="7"/>
  <c r="DQ132" i="7"/>
  <c r="DP132" i="7"/>
  <c r="DO132" i="7"/>
  <c r="DN132" i="7"/>
  <c r="DM132" i="7"/>
  <c r="DL132" i="7"/>
  <c r="DK132" i="7"/>
  <c r="DJ132" i="7"/>
  <c r="DI132" i="7"/>
  <c r="DH132" i="7"/>
  <c r="DG132" i="7"/>
  <c r="DF132" i="7"/>
  <c r="DE132" i="7"/>
  <c r="DD132" i="7"/>
  <c r="DC132" i="7"/>
  <c r="DB132" i="7"/>
  <c r="DA132" i="7"/>
  <c r="CZ132" i="7"/>
  <c r="CY132" i="7"/>
  <c r="CX132" i="7"/>
  <c r="CW132" i="7"/>
  <c r="CV132" i="7"/>
  <c r="CU132" i="7"/>
  <c r="CT132" i="7"/>
  <c r="CS132" i="7"/>
  <c r="CR132" i="7"/>
  <c r="CQ132" i="7"/>
  <c r="CP132" i="7"/>
  <c r="CO132" i="7"/>
  <c r="CN132" i="7"/>
  <c r="CM132" i="7"/>
  <c r="CL132" i="7"/>
  <c r="BS132" i="7"/>
  <c r="BU132" i="7" s="1"/>
  <c r="AO132" i="7"/>
  <c r="EY132" i="7" s="1"/>
  <c r="AN132" i="7"/>
  <c r="AU132" i="7" s="1"/>
  <c r="AJ132" i="7"/>
  <c r="Z132" i="7"/>
  <c r="R132" i="7"/>
  <c r="FI131" i="7"/>
  <c r="FG131" i="7"/>
  <c r="FD131" i="7"/>
  <c r="EX131" i="7"/>
  <c r="EW131" i="7"/>
  <c r="EV131" i="7"/>
  <c r="EK131" i="7"/>
  <c r="EJ131" i="7"/>
  <c r="EI131" i="7"/>
  <c r="EH131" i="7"/>
  <c r="EG131" i="7"/>
  <c r="EF131" i="7"/>
  <c r="EE131" i="7"/>
  <c r="ED131" i="7"/>
  <c r="EC131" i="7"/>
  <c r="EB131" i="7"/>
  <c r="EA131" i="7"/>
  <c r="DZ131" i="7"/>
  <c r="DY131" i="7"/>
  <c r="DX131" i="7"/>
  <c r="DW131" i="7"/>
  <c r="DV131" i="7"/>
  <c r="DU131" i="7"/>
  <c r="DT131" i="7"/>
  <c r="DS131" i="7"/>
  <c r="DR131" i="7"/>
  <c r="DQ131" i="7"/>
  <c r="DP131" i="7"/>
  <c r="DO131" i="7"/>
  <c r="DN131" i="7"/>
  <c r="DM131" i="7"/>
  <c r="DL131" i="7"/>
  <c r="DK131" i="7"/>
  <c r="DJ131" i="7"/>
  <c r="DI131" i="7"/>
  <c r="DH131" i="7"/>
  <c r="DG131" i="7"/>
  <c r="DF131" i="7"/>
  <c r="DE131" i="7"/>
  <c r="DD131" i="7"/>
  <c r="DC131" i="7"/>
  <c r="DB131" i="7"/>
  <c r="DA131" i="7"/>
  <c r="CZ131" i="7"/>
  <c r="CY131" i="7"/>
  <c r="CX131" i="7"/>
  <c r="CW131" i="7"/>
  <c r="CV131" i="7"/>
  <c r="CU131" i="7"/>
  <c r="CT131" i="7"/>
  <c r="CS131" i="7"/>
  <c r="CR131" i="7"/>
  <c r="CQ131" i="7"/>
  <c r="CP131" i="7"/>
  <c r="CO131" i="7"/>
  <c r="CN131" i="7"/>
  <c r="CM131" i="7"/>
  <c r="CL131" i="7"/>
  <c r="BS131" i="7"/>
  <c r="BU131" i="7" s="1"/>
  <c r="AO131" i="7"/>
  <c r="AN131" i="7"/>
  <c r="AJ131" i="7"/>
  <c r="Z131" i="7"/>
  <c r="R131" i="7"/>
  <c r="FI130" i="7"/>
  <c r="FG130" i="7"/>
  <c r="FD130" i="7"/>
  <c r="EX130" i="7"/>
  <c r="EW130" i="7"/>
  <c r="EV130" i="7"/>
  <c r="EK130" i="7"/>
  <c r="EJ130" i="7"/>
  <c r="EI130" i="7"/>
  <c r="EH130" i="7"/>
  <c r="EG130" i="7"/>
  <c r="EF130" i="7"/>
  <c r="EE130" i="7"/>
  <c r="ED130" i="7"/>
  <c r="EC130" i="7"/>
  <c r="EB130" i="7"/>
  <c r="EA130" i="7"/>
  <c r="DZ130" i="7"/>
  <c r="DY130" i="7"/>
  <c r="DX130" i="7"/>
  <c r="DW130" i="7"/>
  <c r="DV130" i="7"/>
  <c r="DU130" i="7"/>
  <c r="DT130" i="7"/>
  <c r="DS130" i="7"/>
  <c r="DR130" i="7"/>
  <c r="DQ130" i="7"/>
  <c r="DP130" i="7"/>
  <c r="DO130" i="7"/>
  <c r="DN130" i="7"/>
  <c r="DM130" i="7"/>
  <c r="DL130" i="7"/>
  <c r="DK130" i="7"/>
  <c r="DJ130" i="7"/>
  <c r="DI130" i="7"/>
  <c r="DH130" i="7"/>
  <c r="DG130" i="7"/>
  <c r="DF130" i="7"/>
  <c r="DE130" i="7"/>
  <c r="DD130" i="7"/>
  <c r="DC130" i="7"/>
  <c r="DB130" i="7"/>
  <c r="DA130" i="7"/>
  <c r="CZ130" i="7"/>
  <c r="CY130" i="7"/>
  <c r="CX130" i="7"/>
  <c r="CW130" i="7"/>
  <c r="CV130" i="7"/>
  <c r="CU130" i="7"/>
  <c r="CT130" i="7"/>
  <c r="CS130" i="7"/>
  <c r="CR130" i="7"/>
  <c r="CQ130" i="7"/>
  <c r="CP130" i="7"/>
  <c r="CO130" i="7"/>
  <c r="CN130" i="7"/>
  <c r="CM130" i="7"/>
  <c r="CL130" i="7"/>
  <c r="BS130" i="7"/>
  <c r="BU130" i="7" s="1"/>
  <c r="AO130" i="7"/>
  <c r="EY130" i="7" s="1"/>
  <c r="AN130" i="7"/>
  <c r="AJ130" i="7"/>
  <c r="Z130" i="7"/>
  <c r="R130" i="7"/>
  <c r="FI129" i="7"/>
  <c r="FG129" i="7"/>
  <c r="FD129" i="7"/>
  <c r="EX129" i="7"/>
  <c r="EW129" i="7"/>
  <c r="EV129" i="7"/>
  <c r="EK129" i="7"/>
  <c r="EJ129" i="7"/>
  <c r="EI129" i="7"/>
  <c r="EH129" i="7"/>
  <c r="EG129" i="7"/>
  <c r="EF129" i="7"/>
  <c r="EE129" i="7"/>
  <c r="ED129" i="7"/>
  <c r="EC129" i="7"/>
  <c r="EB129" i="7"/>
  <c r="EA129" i="7"/>
  <c r="DZ129" i="7"/>
  <c r="DY129" i="7"/>
  <c r="DX129" i="7"/>
  <c r="DW129" i="7"/>
  <c r="DV129" i="7"/>
  <c r="DU129" i="7"/>
  <c r="DT129" i="7"/>
  <c r="DS129" i="7"/>
  <c r="DR129" i="7"/>
  <c r="DQ129" i="7"/>
  <c r="DP129" i="7"/>
  <c r="DO129" i="7"/>
  <c r="DN129" i="7"/>
  <c r="DM129" i="7"/>
  <c r="DL129" i="7"/>
  <c r="DK129" i="7"/>
  <c r="DJ129" i="7"/>
  <c r="DI129" i="7"/>
  <c r="DH129" i="7"/>
  <c r="DG129" i="7"/>
  <c r="DF129" i="7"/>
  <c r="DE129" i="7"/>
  <c r="DD129" i="7"/>
  <c r="DC129" i="7"/>
  <c r="DB129" i="7"/>
  <c r="DA129" i="7"/>
  <c r="CZ129" i="7"/>
  <c r="CY129" i="7"/>
  <c r="CX129" i="7"/>
  <c r="CW129" i="7"/>
  <c r="CV129" i="7"/>
  <c r="CU129" i="7"/>
  <c r="CT129" i="7"/>
  <c r="CS129" i="7"/>
  <c r="CR129" i="7"/>
  <c r="CQ129" i="7"/>
  <c r="CP129" i="7"/>
  <c r="CO129" i="7"/>
  <c r="CN129" i="7"/>
  <c r="CM129" i="7"/>
  <c r="CL129" i="7"/>
  <c r="BS129" i="7"/>
  <c r="BU129" i="7" s="1"/>
  <c r="AO129" i="7"/>
  <c r="AN129" i="7"/>
  <c r="FB129" i="7" s="1"/>
  <c r="AJ129" i="7"/>
  <c r="Z129" i="7"/>
  <c r="R129" i="7"/>
  <c r="FI128" i="7"/>
  <c r="FG128" i="7"/>
  <c r="FD128" i="7"/>
  <c r="EX128" i="7"/>
  <c r="EW128" i="7"/>
  <c r="EV128" i="7"/>
  <c r="EK128" i="7"/>
  <c r="EJ128" i="7"/>
  <c r="EI128" i="7"/>
  <c r="EH128" i="7"/>
  <c r="EG128" i="7"/>
  <c r="EF128" i="7"/>
  <c r="EE128" i="7"/>
  <c r="ED128" i="7"/>
  <c r="EC128" i="7"/>
  <c r="EB128" i="7"/>
  <c r="EA128" i="7"/>
  <c r="DZ128" i="7"/>
  <c r="DY128" i="7"/>
  <c r="DX128" i="7"/>
  <c r="DW128" i="7"/>
  <c r="DV128" i="7"/>
  <c r="DU128" i="7"/>
  <c r="DT128" i="7"/>
  <c r="DS128" i="7"/>
  <c r="DR128" i="7"/>
  <c r="DQ128" i="7"/>
  <c r="DP128" i="7"/>
  <c r="DO128" i="7"/>
  <c r="DN128" i="7"/>
  <c r="DM128" i="7"/>
  <c r="DL128" i="7"/>
  <c r="DK128" i="7"/>
  <c r="DJ128" i="7"/>
  <c r="DI128" i="7"/>
  <c r="DH128" i="7"/>
  <c r="DG128" i="7"/>
  <c r="DF128" i="7"/>
  <c r="DE128" i="7"/>
  <c r="DD128" i="7"/>
  <c r="DC128" i="7"/>
  <c r="DB128" i="7"/>
  <c r="DA128" i="7"/>
  <c r="CZ128" i="7"/>
  <c r="CY128" i="7"/>
  <c r="CX128" i="7"/>
  <c r="CW128" i="7"/>
  <c r="CV128" i="7"/>
  <c r="CU128" i="7"/>
  <c r="CT128" i="7"/>
  <c r="CS128" i="7"/>
  <c r="CR128" i="7"/>
  <c r="CQ128" i="7"/>
  <c r="CP128" i="7"/>
  <c r="CO128" i="7"/>
  <c r="CN128" i="7"/>
  <c r="CM128" i="7"/>
  <c r="CL128" i="7"/>
  <c r="BS128" i="7"/>
  <c r="BU128" i="7" s="1"/>
  <c r="AO128" i="7"/>
  <c r="EY128" i="7" s="1"/>
  <c r="AN128" i="7"/>
  <c r="AU128" i="7" s="1"/>
  <c r="AJ128" i="7"/>
  <c r="Z128" i="7"/>
  <c r="R128" i="7"/>
  <c r="FI127" i="7"/>
  <c r="FG127" i="7"/>
  <c r="FD127" i="7"/>
  <c r="EX127" i="7"/>
  <c r="EW127" i="7"/>
  <c r="EV127" i="7"/>
  <c r="EK127" i="7"/>
  <c r="EJ127" i="7"/>
  <c r="EI127" i="7"/>
  <c r="EH127" i="7"/>
  <c r="EG127" i="7"/>
  <c r="EF127" i="7"/>
  <c r="EE127" i="7"/>
  <c r="ED127" i="7"/>
  <c r="EC127" i="7"/>
  <c r="EB127" i="7"/>
  <c r="EA127" i="7"/>
  <c r="DZ127" i="7"/>
  <c r="DY127" i="7"/>
  <c r="DX127" i="7"/>
  <c r="DW127" i="7"/>
  <c r="DV127" i="7"/>
  <c r="DU127" i="7"/>
  <c r="DT127" i="7"/>
  <c r="DS127" i="7"/>
  <c r="DR127" i="7"/>
  <c r="DQ127" i="7"/>
  <c r="DP127" i="7"/>
  <c r="DO127" i="7"/>
  <c r="DN127" i="7"/>
  <c r="DM127" i="7"/>
  <c r="DL127" i="7"/>
  <c r="DK127" i="7"/>
  <c r="DJ127" i="7"/>
  <c r="DI127" i="7"/>
  <c r="DH127" i="7"/>
  <c r="DG127" i="7"/>
  <c r="DF127" i="7"/>
  <c r="DE127" i="7"/>
  <c r="DD127" i="7"/>
  <c r="DC127" i="7"/>
  <c r="DB127" i="7"/>
  <c r="DA127" i="7"/>
  <c r="CZ127" i="7"/>
  <c r="CY127" i="7"/>
  <c r="CX127" i="7"/>
  <c r="CW127" i="7"/>
  <c r="CV127" i="7"/>
  <c r="CU127" i="7"/>
  <c r="CT127" i="7"/>
  <c r="CS127" i="7"/>
  <c r="CR127" i="7"/>
  <c r="CQ127" i="7"/>
  <c r="CP127" i="7"/>
  <c r="CO127" i="7"/>
  <c r="CN127" i="7"/>
  <c r="CM127" i="7"/>
  <c r="CL127" i="7"/>
  <c r="BS127" i="7"/>
  <c r="BU127" i="7" s="1"/>
  <c r="AO127" i="7"/>
  <c r="EY127" i="7" s="1"/>
  <c r="AN127" i="7"/>
  <c r="AJ127" i="7"/>
  <c r="Z127" i="7"/>
  <c r="R127" i="7"/>
  <c r="FI126" i="7"/>
  <c r="FG126" i="7"/>
  <c r="FD126" i="7"/>
  <c r="EX126" i="7"/>
  <c r="EW126" i="7"/>
  <c r="EV126" i="7"/>
  <c r="EK126" i="7"/>
  <c r="EJ126" i="7"/>
  <c r="EI126" i="7"/>
  <c r="EH126" i="7"/>
  <c r="EG126" i="7"/>
  <c r="EF126" i="7"/>
  <c r="EE126" i="7"/>
  <c r="ED126" i="7"/>
  <c r="EC126" i="7"/>
  <c r="EB126" i="7"/>
  <c r="EA126" i="7"/>
  <c r="DZ126" i="7"/>
  <c r="DY126" i="7"/>
  <c r="DX126" i="7"/>
  <c r="DW126" i="7"/>
  <c r="DV126" i="7"/>
  <c r="DU126" i="7"/>
  <c r="DT126" i="7"/>
  <c r="DS126" i="7"/>
  <c r="DR126" i="7"/>
  <c r="DQ126" i="7"/>
  <c r="DP126" i="7"/>
  <c r="DO126" i="7"/>
  <c r="DN126" i="7"/>
  <c r="DM126" i="7"/>
  <c r="DL126" i="7"/>
  <c r="DK126" i="7"/>
  <c r="DJ126" i="7"/>
  <c r="DI126" i="7"/>
  <c r="DH126" i="7"/>
  <c r="DG126" i="7"/>
  <c r="DF126" i="7"/>
  <c r="DE126" i="7"/>
  <c r="DD126" i="7"/>
  <c r="DC126" i="7"/>
  <c r="DB126" i="7"/>
  <c r="DA126" i="7"/>
  <c r="CZ126" i="7"/>
  <c r="CY126" i="7"/>
  <c r="CX126" i="7"/>
  <c r="CW126" i="7"/>
  <c r="CV126" i="7"/>
  <c r="CU126" i="7"/>
  <c r="CT126" i="7"/>
  <c r="CS126" i="7"/>
  <c r="CR126" i="7"/>
  <c r="CQ126" i="7"/>
  <c r="CP126" i="7"/>
  <c r="CO126" i="7"/>
  <c r="CN126" i="7"/>
  <c r="CM126" i="7"/>
  <c r="CL126" i="7"/>
  <c r="BS126" i="7"/>
  <c r="BU126" i="7" s="1"/>
  <c r="AO126" i="7"/>
  <c r="AN126" i="7"/>
  <c r="EZ126" i="7" s="1"/>
  <c r="AJ126" i="7"/>
  <c r="Z126" i="7"/>
  <c r="R126" i="7"/>
  <c r="FI125" i="7"/>
  <c r="FG125" i="7"/>
  <c r="FD125" i="7"/>
  <c r="EX125" i="7"/>
  <c r="EW125" i="7"/>
  <c r="EV125" i="7"/>
  <c r="EK125" i="7"/>
  <c r="EJ125" i="7"/>
  <c r="EI125" i="7"/>
  <c r="EH125" i="7"/>
  <c r="EG125" i="7"/>
  <c r="EF125" i="7"/>
  <c r="EE125" i="7"/>
  <c r="ED125" i="7"/>
  <c r="EC125" i="7"/>
  <c r="EB125" i="7"/>
  <c r="EA125" i="7"/>
  <c r="DZ125" i="7"/>
  <c r="DY125" i="7"/>
  <c r="DX125" i="7"/>
  <c r="DW125" i="7"/>
  <c r="DV125" i="7"/>
  <c r="DU125" i="7"/>
  <c r="DT125" i="7"/>
  <c r="DS125" i="7"/>
  <c r="DR125" i="7"/>
  <c r="DQ125" i="7"/>
  <c r="DP125" i="7"/>
  <c r="DO125" i="7"/>
  <c r="DN125" i="7"/>
  <c r="DM125" i="7"/>
  <c r="DL125" i="7"/>
  <c r="DK125" i="7"/>
  <c r="DJ125" i="7"/>
  <c r="DI125" i="7"/>
  <c r="DH125" i="7"/>
  <c r="DG125" i="7"/>
  <c r="DF125" i="7"/>
  <c r="DE125" i="7"/>
  <c r="DD125" i="7"/>
  <c r="DC125" i="7"/>
  <c r="DB125" i="7"/>
  <c r="DA125" i="7"/>
  <c r="CZ125" i="7"/>
  <c r="CY125" i="7"/>
  <c r="CX125" i="7"/>
  <c r="CW125" i="7"/>
  <c r="CV125" i="7"/>
  <c r="CU125" i="7"/>
  <c r="CT125" i="7"/>
  <c r="CS125" i="7"/>
  <c r="CR125" i="7"/>
  <c r="CQ125" i="7"/>
  <c r="CP125" i="7"/>
  <c r="CO125" i="7"/>
  <c r="CN125" i="7"/>
  <c r="CM125" i="7"/>
  <c r="CL125" i="7"/>
  <c r="BS125" i="7"/>
  <c r="BU125" i="7" s="1"/>
  <c r="AO125" i="7"/>
  <c r="FF125" i="7" s="1"/>
  <c r="AN125" i="7"/>
  <c r="AJ125" i="7"/>
  <c r="Z125" i="7"/>
  <c r="R125" i="7"/>
  <c r="FI124" i="7"/>
  <c r="FG124" i="7"/>
  <c r="FD124" i="7"/>
  <c r="EX124" i="7"/>
  <c r="EW124" i="7"/>
  <c r="EV124" i="7"/>
  <c r="EK124" i="7"/>
  <c r="EJ124" i="7"/>
  <c r="EI124" i="7"/>
  <c r="EH124" i="7"/>
  <c r="EG124" i="7"/>
  <c r="EF124" i="7"/>
  <c r="EE124" i="7"/>
  <c r="ED124" i="7"/>
  <c r="EC124" i="7"/>
  <c r="EB124" i="7"/>
  <c r="EA124" i="7"/>
  <c r="DZ124" i="7"/>
  <c r="DY124" i="7"/>
  <c r="DX124" i="7"/>
  <c r="DW124" i="7"/>
  <c r="DV124" i="7"/>
  <c r="DU124" i="7"/>
  <c r="DT124" i="7"/>
  <c r="DS124" i="7"/>
  <c r="DR124" i="7"/>
  <c r="DQ124" i="7"/>
  <c r="DP124" i="7"/>
  <c r="DO124" i="7"/>
  <c r="DN124" i="7"/>
  <c r="DM124" i="7"/>
  <c r="DL124" i="7"/>
  <c r="DK124" i="7"/>
  <c r="DJ124" i="7"/>
  <c r="DI124" i="7"/>
  <c r="DH124" i="7"/>
  <c r="DG124" i="7"/>
  <c r="DF124" i="7"/>
  <c r="DE124" i="7"/>
  <c r="DD124" i="7"/>
  <c r="DC124" i="7"/>
  <c r="DB124" i="7"/>
  <c r="DA124" i="7"/>
  <c r="CZ124" i="7"/>
  <c r="CY124" i="7"/>
  <c r="CX124" i="7"/>
  <c r="CW124" i="7"/>
  <c r="CV124" i="7"/>
  <c r="CU124" i="7"/>
  <c r="CT124" i="7"/>
  <c r="CS124" i="7"/>
  <c r="CR124" i="7"/>
  <c r="CQ124" i="7"/>
  <c r="CP124" i="7"/>
  <c r="CO124" i="7"/>
  <c r="CN124" i="7"/>
  <c r="CM124" i="7"/>
  <c r="CL124" i="7"/>
  <c r="BS124" i="7"/>
  <c r="BU124" i="7" s="1"/>
  <c r="AO124" i="7"/>
  <c r="AN124" i="7"/>
  <c r="AJ124" i="7"/>
  <c r="Z124" i="7"/>
  <c r="R124" i="7"/>
  <c r="FI123" i="7"/>
  <c r="FG123" i="7"/>
  <c r="FD123" i="7"/>
  <c r="EX123" i="7"/>
  <c r="EW123" i="7"/>
  <c r="EV123" i="7"/>
  <c r="EK123" i="7"/>
  <c r="EJ123" i="7"/>
  <c r="EI123" i="7"/>
  <c r="EH123" i="7"/>
  <c r="EG123" i="7"/>
  <c r="EF123" i="7"/>
  <c r="EE123" i="7"/>
  <c r="ED123" i="7"/>
  <c r="EC123" i="7"/>
  <c r="EB123" i="7"/>
  <c r="EA123" i="7"/>
  <c r="DZ123" i="7"/>
  <c r="DY123" i="7"/>
  <c r="DX123" i="7"/>
  <c r="DW123" i="7"/>
  <c r="DV123" i="7"/>
  <c r="DU123" i="7"/>
  <c r="DT123" i="7"/>
  <c r="DS123" i="7"/>
  <c r="DR123" i="7"/>
  <c r="DQ123" i="7"/>
  <c r="DP123" i="7"/>
  <c r="DO123" i="7"/>
  <c r="DN123" i="7"/>
  <c r="DM123" i="7"/>
  <c r="DL123" i="7"/>
  <c r="DK123" i="7"/>
  <c r="DJ123" i="7"/>
  <c r="DI123" i="7"/>
  <c r="DH123" i="7"/>
  <c r="DG123" i="7"/>
  <c r="DF123" i="7"/>
  <c r="DE123" i="7"/>
  <c r="DD123" i="7"/>
  <c r="DC123" i="7"/>
  <c r="DB123" i="7"/>
  <c r="DA123" i="7"/>
  <c r="CZ123" i="7"/>
  <c r="CY123" i="7"/>
  <c r="CX123" i="7"/>
  <c r="CW123" i="7"/>
  <c r="CV123" i="7"/>
  <c r="CU123" i="7"/>
  <c r="CT123" i="7"/>
  <c r="CS123" i="7"/>
  <c r="CR123" i="7"/>
  <c r="CQ123" i="7"/>
  <c r="CP123" i="7"/>
  <c r="CO123" i="7"/>
  <c r="CN123" i="7"/>
  <c r="CM123" i="7"/>
  <c r="CL123" i="7"/>
  <c r="BS123" i="7"/>
  <c r="BU123" i="7" s="1"/>
  <c r="AO123" i="7"/>
  <c r="AN123" i="7"/>
  <c r="EZ123" i="7" s="1"/>
  <c r="AJ123" i="7"/>
  <c r="Z123" i="7"/>
  <c r="R123" i="7"/>
  <c r="FI122" i="7"/>
  <c r="FG122" i="7"/>
  <c r="FD122" i="7"/>
  <c r="EX122" i="7"/>
  <c r="EW122" i="7"/>
  <c r="EV122" i="7"/>
  <c r="EK122" i="7"/>
  <c r="EJ122" i="7"/>
  <c r="EI122" i="7"/>
  <c r="EH122" i="7"/>
  <c r="EG122" i="7"/>
  <c r="EF122" i="7"/>
  <c r="EE122" i="7"/>
  <c r="ED122" i="7"/>
  <c r="EC122" i="7"/>
  <c r="EB122" i="7"/>
  <c r="EA122" i="7"/>
  <c r="DZ122" i="7"/>
  <c r="DY122" i="7"/>
  <c r="DX122" i="7"/>
  <c r="DW122" i="7"/>
  <c r="DV122" i="7"/>
  <c r="DU122" i="7"/>
  <c r="DT122" i="7"/>
  <c r="DS122" i="7"/>
  <c r="DR122" i="7"/>
  <c r="DQ122" i="7"/>
  <c r="DP122" i="7"/>
  <c r="DO122" i="7"/>
  <c r="DN122" i="7"/>
  <c r="DM122" i="7"/>
  <c r="DL122" i="7"/>
  <c r="DK122" i="7"/>
  <c r="DJ122" i="7"/>
  <c r="DI122" i="7"/>
  <c r="DH122" i="7"/>
  <c r="DG122" i="7"/>
  <c r="DF122" i="7"/>
  <c r="DE122" i="7"/>
  <c r="DD122" i="7"/>
  <c r="DC122" i="7"/>
  <c r="DB122" i="7"/>
  <c r="DA122" i="7"/>
  <c r="CZ122" i="7"/>
  <c r="CY122" i="7"/>
  <c r="CX122" i="7"/>
  <c r="CW122" i="7"/>
  <c r="CV122" i="7"/>
  <c r="CU122" i="7"/>
  <c r="CT122" i="7"/>
  <c r="CS122" i="7"/>
  <c r="CR122" i="7"/>
  <c r="CQ122" i="7"/>
  <c r="CP122" i="7"/>
  <c r="CO122" i="7"/>
  <c r="CN122" i="7"/>
  <c r="CM122" i="7"/>
  <c r="CL122" i="7"/>
  <c r="BS122" i="7"/>
  <c r="BU122" i="7" s="1"/>
  <c r="AO122" i="7"/>
  <c r="FA122" i="7" s="1"/>
  <c r="AN122" i="7"/>
  <c r="AJ122" i="7"/>
  <c r="Z122" i="7"/>
  <c r="R122" i="7"/>
  <c r="FI121" i="7"/>
  <c r="FG121" i="7"/>
  <c r="FD121" i="7"/>
  <c r="EX121" i="7"/>
  <c r="EW121" i="7"/>
  <c r="EV121" i="7"/>
  <c r="EK121" i="7"/>
  <c r="EJ121" i="7"/>
  <c r="EI121" i="7"/>
  <c r="EH121" i="7"/>
  <c r="EG121" i="7"/>
  <c r="EF121" i="7"/>
  <c r="EE121" i="7"/>
  <c r="ED121" i="7"/>
  <c r="EC121" i="7"/>
  <c r="EB121" i="7"/>
  <c r="EA121" i="7"/>
  <c r="DZ121" i="7"/>
  <c r="DY121" i="7"/>
  <c r="DX121" i="7"/>
  <c r="DW121" i="7"/>
  <c r="DV121" i="7"/>
  <c r="DU121" i="7"/>
  <c r="DT121" i="7"/>
  <c r="DS121" i="7"/>
  <c r="DR121" i="7"/>
  <c r="DQ121" i="7"/>
  <c r="DP121" i="7"/>
  <c r="DO121" i="7"/>
  <c r="DN121" i="7"/>
  <c r="DM121" i="7"/>
  <c r="DL121" i="7"/>
  <c r="DK121" i="7"/>
  <c r="DJ121" i="7"/>
  <c r="DI121" i="7"/>
  <c r="DH121" i="7"/>
  <c r="DG121" i="7"/>
  <c r="DF121" i="7"/>
  <c r="DE121" i="7"/>
  <c r="DD121" i="7"/>
  <c r="DC121" i="7"/>
  <c r="DB121" i="7"/>
  <c r="DA121" i="7"/>
  <c r="CZ121" i="7"/>
  <c r="CY121" i="7"/>
  <c r="CX121" i="7"/>
  <c r="CW121" i="7"/>
  <c r="CV121" i="7"/>
  <c r="CU121" i="7"/>
  <c r="CT121" i="7"/>
  <c r="CS121" i="7"/>
  <c r="CR121" i="7"/>
  <c r="CQ121" i="7"/>
  <c r="CP121" i="7"/>
  <c r="CO121" i="7"/>
  <c r="CN121" i="7"/>
  <c r="CM121" i="7"/>
  <c r="CL121" i="7"/>
  <c r="BS121" i="7"/>
  <c r="BU121" i="7" s="1"/>
  <c r="AO121" i="7"/>
  <c r="EY121" i="7" s="1"/>
  <c r="AN121" i="7"/>
  <c r="AJ121" i="7"/>
  <c r="Z121" i="7"/>
  <c r="R121" i="7"/>
  <c r="FI120" i="7"/>
  <c r="FG120" i="7"/>
  <c r="FD120" i="7"/>
  <c r="EX120" i="7"/>
  <c r="EW120" i="7"/>
  <c r="EV120" i="7"/>
  <c r="EK120" i="7"/>
  <c r="EJ120" i="7"/>
  <c r="EI120" i="7"/>
  <c r="EH120" i="7"/>
  <c r="EG120" i="7"/>
  <c r="EF120" i="7"/>
  <c r="EE120" i="7"/>
  <c r="ED120" i="7"/>
  <c r="EC120" i="7"/>
  <c r="EB120" i="7"/>
  <c r="EA120" i="7"/>
  <c r="DZ120" i="7"/>
  <c r="DY120" i="7"/>
  <c r="DX120" i="7"/>
  <c r="DW120" i="7"/>
  <c r="DV120" i="7"/>
  <c r="DU120" i="7"/>
  <c r="DT120" i="7"/>
  <c r="DS120" i="7"/>
  <c r="DR120" i="7"/>
  <c r="DQ120" i="7"/>
  <c r="DP120" i="7"/>
  <c r="DO120" i="7"/>
  <c r="DN120" i="7"/>
  <c r="DM120" i="7"/>
  <c r="DL120" i="7"/>
  <c r="DK120" i="7"/>
  <c r="DJ120" i="7"/>
  <c r="DI120" i="7"/>
  <c r="DH120" i="7"/>
  <c r="DG120" i="7"/>
  <c r="DF120" i="7"/>
  <c r="DE120" i="7"/>
  <c r="DD120" i="7"/>
  <c r="DC120" i="7"/>
  <c r="DB120" i="7"/>
  <c r="DA120" i="7"/>
  <c r="CZ120" i="7"/>
  <c r="CY120" i="7"/>
  <c r="CX120" i="7"/>
  <c r="CW120" i="7"/>
  <c r="CV120" i="7"/>
  <c r="CU120" i="7"/>
  <c r="CT120" i="7"/>
  <c r="CS120" i="7"/>
  <c r="CR120" i="7"/>
  <c r="CQ120" i="7"/>
  <c r="CP120" i="7"/>
  <c r="CO120" i="7"/>
  <c r="CN120" i="7"/>
  <c r="CM120" i="7"/>
  <c r="CL120" i="7"/>
  <c r="BS120" i="7"/>
  <c r="BU120" i="7" s="1"/>
  <c r="AO120" i="7"/>
  <c r="EY120" i="7" s="1"/>
  <c r="AN120" i="7"/>
  <c r="FB120" i="7" s="1"/>
  <c r="AJ120" i="7"/>
  <c r="Z120" i="7"/>
  <c r="R120" i="7"/>
  <c r="FI119" i="7"/>
  <c r="FG119" i="7"/>
  <c r="FD119" i="7"/>
  <c r="EX119" i="7"/>
  <c r="EW119" i="7"/>
  <c r="EV119" i="7"/>
  <c r="EK119" i="7"/>
  <c r="EJ119" i="7"/>
  <c r="EI119" i="7"/>
  <c r="EH119" i="7"/>
  <c r="EG119" i="7"/>
  <c r="EF119" i="7"/>
  <c r="EE119" i="7"/>
  <c r="ED119" i="7"/>
  <c r="EC119" i="7"/>
  <c r="EB119" i="7"/>
  <c r="EA119" i="7"/>
  <c r="DZ119" i="7"/>
  <c r="DY119" i="7"/>
  <c r="DX119" i="7"/>
  <c r="DW119" i="7"/>
  <c r="DV119" i="7"/>
  <c r="DU119" i="7"/>
  <c r="DT119" i="7"/>
  <c r="DS119" i="7"/>
  <c r="DR119" i="7"/>
  <c r="DQ119" i="7"/>
  <c r="DP119" i="7"/>
  <c r="DO119" i="7"/>
  <c r="DN119" i="7"/>
  <c r="DM119" i="7"/>
  <c r="DL119" i="7"/>
  <c r="DK119" i="7"/>
  <c r="DJ119" i="7"/>
  <c r="DI119" i="7"/>
  <c r="DH119" i="7"/>
  <c r="DG119" i="7"/>
  <c r="DF119" i="7"/>
  <c r="DE119" i="7"/>
  <c r="DD119" i="7"/>
  <c r="DC119" i="7"/>
  <c r="DB119" i="7"/>
  <c r="DA119" i="7"/>
  <c r="CZ119" i="7"/>
  <c r="CY119" i="7"/>
  <c r="CX119" i="7"/>
  <c r="CW119" i="7"/>
  <c r="CV119" i="7"/>
  <c r="CU119" i="7"/>
  <c r="CT119" i="7"/>
  <c r="CS119" i="7"/>
  <c r="CR119" i="7"/>
  <c r="CQ119" i="7"/>
  <c r="CP119" i="7"/>
  <c r="CO119" i="7"/>
  <c r="CN119" i="7"/>
  <c r="CM119" i="7"/>
  <c r="CL119" i="7"/>
  <c r="BS119" i="7"/>
  <c r="BU119" i="7" s="1"/>
  <c r="BK119" i="7"/>
  <c r="BM119" i="7" s="1"/>
  <c r="BO119" i="7" s="1"/>
  <c r="AO119" i="7"/>
  <c r="FF119" i="7" s="1"/>
  <c r="AN119" i="7"/>
  <c r="AJ119" i="7"/>
  <c r="Z119" i="7"/>
  <c r="R119" i="7"/>
  <c r="FI118" i="7"/>
  <c r="FG118" i="7"/>
  <c r="FD118" i="7"/>
  <c r="EX118" i="7"/>
  <c r="EW118" i="7"/>
  <c r="EV118" i="7"/>
  <c r="EK118" i="7"/>
  <c r="EJ118" i="7"/>
  <c r="EI118" i="7"/>
  <c r="EH118" i="7"/>
  <c r="EG118" i="7"/>
  <c r="EF118" i="7"/>
  <c r="EE118" i="7"/>
  <c r="ED118" i="7"/>
  <c r="EC118" i="7"/>
  <c r="EB118" i="7"/>
  <c r="EA118" i="7"/>
  <c r="DZ118" i="7"/>
  <c r="DY118" i="7"/>
  <c r="DX118" i="7"/>
  <c r="DW118" i="7"/>
  <c r="DV118" i="7"/>
  <c r="DU118" i="7"/>
  <c r="DT118" i="7"/>
  <c r="DS118" i="7"/>
  <c r="DR118" i="7"/>
  <c r="DQ118" i="7"/>
  <c r="DP118" i="7"/>
  <c r="DO118" i="7"/>
  <c r="DN118" i="7"/>
  <c r="DM118" i="7"/>
  <c r="DL118" i="7"/>
  <c r="DK118" i="7"/>
  <c r="DJ118" i="7"/>
  <c r="DI118" i="7"/>
  <c r="DH118" i="7"/>
  <c r="DG118" i="7"/>
  <c r="DF118" i="7"/>
  <c r="DE118" i="7"/>
  <c r="DD118" i="7"/>
  <c r="DC118" i="7"/>
  <c r="DB118" i="7"/>
  <c r="DA118" i="7"/>
  <c r="CZ118" i="7"/>
  <c r="CY118" i="7"/>
  <c r="CX118" i="7"/>
  <c r="CW118" i="7"/>
  <c r="CV118" i="7"/>
  <c r="CU118" i="7"/>
  <c r="CT118" i="7"/>
  <c r="CS118" i="7"/>
  <c r="CR118" i="7"/>
  <c r="CQ118" i="7"/>
  <c r="CP118" i="7"/>
  <c r="CO118" i="7"/>
  <c r="CN118" i="7"/>
  <c r="CM118" i="7"/>
  <c r="CL118" i="7"/>
  <c r="BS118" i="7"/>
  <c r="BU118" i="7" s="1"/>
  <c r="AO118" i="7"/>
  <c r="AN118" i="7"/>
  <c r="FB118" i="7" s="1"/>
  <c r="AJ118" i="7"/>
  <c r="Z118" i="7"/>
  <c r="R118" i="7"/>
  <c r="FI117" i="7"/>
  <c r="FG117" i="7"/>
  <c r="FD117" i="7"/>
  <c r="EX117" i="7"/>
  <c r="EW117" i="7"/>
  <c r="EV117" i="7"/>
  <c r="EK117" i="7"/>
  <c r="EJ117" i="7"/>
  <c r="EI117" i="7"/>
  <c r="EH117" i="7"/>
  <c r="EG117" i="7"/>
  <c r="EF117" i="7"/>
  <c r="EE117" i="7"/>
  <c r="ED117" i="7"/>
  <c r="EC117" i="7"/>
  <c r="EB117" i="7"/>
  <c r="EA117" i="7"/>
  <c r="DZ117" i="7"/>
  <c r="DY117" i="7"/>
  <c r="DX117" i="7"/>
  <c r="DW117" i="7"/>
  <c r="DV117" i="7"/>
  <c r="DU117" i="7"/>
  <c r="DT117" i="7"/>
  <c r="DS117" i="7"/>
  <c r="DR117" i="7"/>
  <c r="DQ117" i="7"/>
  <c r="DP117" i="7"/>
  <c r="DO117" i="7"/>
  <c r="DN117" i="7"/>
  <c r="DM117" i="7"/>
  <c r="DL117" i="7"/>
  <c r="DK117" i="7"/>
  <c r="DJ117" i="7"/>
  <c r="DI117" i="7"/>
  <c r="DH117" i="7"/>
  <c r="DG117" i="7"/>
  <c r="DF117" i="7"/>
  <c r="DE117" i="7"/>
  <c r="DD117" i="7"/>
  <c r="DC117" i="7"/>
  <c r="DB117" i="7"/>
  <c r="DA117" i="7"/>
  <c r="CZ117" i="7"/>
  <c r="CY117" i="7"/>
  <c r="CX117" i="7"/>
  <c r="CW117" i="7"/>
  <c r="CV117" i="7"/>
  <c r="CU117" i="7"/>
  <c r="CT117" i="7"/>
  <c r="CS117" i="7"/>
  <c r="CR117" i="7"/>
  <c r="CQ117" i="7"/>
  <c r="CP117" i="7"/>
  <c r="CO117" i="7"/>
  <c r="CN117" i="7"/>
  <c r="CM117" i="7"/>
  <c r="CL117" i="7"/>
  <c r="BS117" i="7"/>
  <c r="BU117" i="7" s="1"/>
  <c r="AO117" i="7"/>
  <c r="FE117" i="7" s="1"/>
  <c r="AN117" i="7"/>
  <c r="AJ117" i="7"/>
  <c r="Z117" i="7"/>
  <c r="R117" i="7"/>
  <c r="FI116" i="7"/>
  <c r="FG116" i="7"/>
  <c r="FD116" i="7"/>
  <c r="EX116" i="7"/>
  <c r="EW116" i="7"/>
  <c r="EV116" i="7"/>
  <c r="EK116" i="7"/>
  <c r="EJ116" i="7"/>
  <c r="EI116" i="7"/>
  <c r="EH116" i="7"/>
  <c r="EG116" i="7"/>
  <c r="EF116" i="7"/>
  <c r="EE116" i="7"/>
  <c r="ED116" i="7"/>
  <c r="EC116" i="7"/>
  <c r="EB116" i="7"/>
  <c r="EA116" i="7"/>
  <c r="DZ116" i="7"/>
  <c r="DY116" i="7"/>
  <c r="DX116" i="7"/>
  <c r="DW116" i="7"/>
  <c r="DV116" i="7"/>
  <c r="DU116" i="7"/>
  <c r="DT116" i="7"/>
  <c r="DS116" i="7"/>
  <c r="DR116" i="7"/>
  <c r="DQ116" i="7"/>
  <c r="DP116" i="7"/>
  <c r="DO116" i="7"/>
  <c r="DN116" i="7"/>
  <c r="DM116" i="7"/>
  <c r="DL116" i="7"/>
  <c r="DK116" i="7"/>
  <c r="DJ116" i="7"/>
  <c r="DI116" i="7"/>
  <c r="DH116" i="7"/>
  <c r="DG116" i="7"/>
  <c r="DF116" i="7"/>
  <c r="DE116" i="7"/>
  <c r="DD116" i="7"/>
  <c r="DC116" i="7"/>
  <c r="DB116" i="7"/>
  <c r="DA116" i="7"/>
  <c r="CZ116" i="7"/>
  <c r="CY116" i="7"/>
  <c r="CX116" i="7"/>
  <c r="CW116" i="7"/>
  <c r="CV116" i="7"/>
  <c r="CU116" i="7"/>
  <c r="CT116" i="7"/>
  <c r="CS116" i="7"/>
  <c r="CR116" i="7"/>
  <c r="CQ116" i="7"/>
  <c r="CP116" i="7"/>
  <c r="CO116" i="7"/>
  <c r="CN116" i="7"/>
  <c r="CM116" i="7"/>
  <c r="CL116" i="7"/>
  <c r="BS116" i="7"/>
  <c r="BU116" i="7" s="1"/>
  <c r="AO116" i="7"/>
  <c r="EY116" i="7" s="1"/>
  <c r="AN116" i="7"/>
  <c r="AJ116" i="7"/>
  <c r="Z116" i="7"/>
  <c r="R116" i="7"/>
  <c r="FI115" i="7"/>
  <c r="FG115" i="7"/>
  <c r="FD115" i="7"/>
  <c r="EX115" i="7"/>
  <c r="EW115" i="7"/>
  <c r="EV115" i="7"/>
  <c r="EK115" i="7"/>
  <c r="EJ115" i="7"/>
  <c r="EI115" i="7"/>
  <c r="EH115" i="7"/>
  <c r="EG115" i="7"/>
  <c r="EF115" i="7"/>
  <c r="EE115" i="7"/>
  <c r="ED115" i="7"/>
  <c r="EC115" i="7"/>
  <c r="EB115" i="7"/>
  <c r="EA115" i="7"/>
  <c r="DZ115" i="7"/>
  <c r="DY115" i="7"/>
  <c r="DX115" i="7"/>
  <c r="DW115" i="7"/>
  <c r="DV115" i="7"/>
  <c r="DU115" i="7"/>
  <c r="DT115" i="7"/>
  <c r="DS115" i="7"/>
  <c r="DR115" i="7"/>
  <c r="DQ115" i="7"/>
  <c r="DP115" i="7"/>
  <c r="DO115" i="7"/>
  <c r="DN115" i="7"/>
  <c r="DM115" i="7"/>
  <c r="DL115" i="7"/>
  <c r="DK115" i="7"/>
  <c r="DJ115" i="7"/>
  <c r="DI115" i="7"/>
  <c r="DH115" i="7"/>
  <c r="DG115" i="7"/>
  <c r="DF115" i="7"/>
  <c r="DE115" i="7"/>
  <c r="DD115" i="7"/>
  <c r="DC115" i="7"/>
  <c r="DB115" i="7"/>
  <c r="DA115" i="7"/>
  <c r="CZ115" i="7"/>
  <c r="CY115" i="7"/>
  <c r="CX115" i="7"/>
  <c r="CW115" i="7"/>
  <c r="CV115" i="7"/>
  <c r="CU115" i="7"/>
  <c r="CT115" i="7"/>
  <c r="CS115" i="7"/>
  <c r="CR115" i="7"/>
  <c r="CQ115" i="7"/>
  <c r="CP115" i="7"/>
  <c r="CO115" i="7"/>
  <c r="CN115" i="7"/>
  <c r="CM115" i="7"/>
  <c r="CL115" i="7"/>
  <c r="BS115" i="7"/>
  <c r="BU115" i="7" s="1"/>
  <c r="AO115" i="7"/>
  <c r="FF115" i="7" s="1"/>
  <c r="AN115" i="7"/>
  <c r="AJ115" i="7"/>
  <c r="Z115" i="7"/>
  <c r="R115" i="7"/>
  <c r="FI114" i="7"/>
  <c r="FG114" i="7"/>
  <c r="FD114" i="7"/>
  <c r="EX114" i="7"/>
  <c r="EW114" i="7"/>
  <c r="EV114" i="7"/>
  <c r="EK114" i="7"/>
  <c r="EJ114" i="7"/>
  <c r="EI114" i="7"/>
  <c r="EH114" i="7"/>
  <c r="EG114" i="7"/>
  <c r="EF114" i="7"/>
  <c r="EE114" i="7"/>
  <c r="ED114" i="7"/>
  <c r="EC114" i="7"/>
  <c r="EB114" i="7"/>
  <c r="EA114" i="7"/>
  <c r="DZ114" i="7"/>
  <c r="DY114" i="7"/>
  <c r="DX114" i="7"/>
  <c r="DW114" i="7"/>
  <c r="DV114" i="7"/>
  <c r="DU114" i="7"/>
  <c r="DT114" i="7"/>
  <c r="DS114" i="7"/>
  <c r="DR114" i="7"/>
  <c r="DQ114" i="7"/>
  <c r="DP114" i="7"/>
  <c r="DO114" i="7"/>
  <c r="DN114" i="7"/>
  <c r="DM114" i="7"/>
  <c r="DL114" i="7"/>
  <c r="DK114" i="7"/>
  <c r="DJ114" i="7"/>
  <c r="DI114" i="7"/>
  <c r="DH114" i="7"/>
  <c r="DG114" i="7"/>
  <c r="DF114" i="7"/>
  <c r="DE114" i="7"/>
  <c r="DD114" i="7"/>
  <c r="DC114" i="7"/>
  <c r="DB114" i="7"/>
  <c r="DA114" i="7"/>
  <c r="CZ114" i="7"/>
  <c r="CY114" i="7"/>
  <c r="CX114" i="7"/>
  <c r="CW114" i="7"/>
  <c r="CV114" i="7"/>
  <c r="CU114" i="7"/>
  <c r="CT114" i="7"/>
  <c r="CS114" i="7"/>
  <c r="CR114" i="7"/>
  <c r="CQ114" i="7"/>
  <c r="CP114" i="7"/>
  <c r="CO114" i="7"/>
  <c r="CN114" i="7"/>
  <c r="CM114" i="7"/>
  <c r="CL114" i="7"/>
  <c r="BS114" i="7"/>
  <c r="BU114" i="7" s="1"/>
  <c r="AO114" i="7"/>
  <c r="BK114" i="7" s="1"/>
  <c r="BM114" i="7" s="1"/>
  <c r="BO114" i="7" s="1"/>
  <c r="BX114" i="7" s="1"/>
  <c r="AN114" i="7"/>
  <c r="FB114" i="7" s="1"/>
  <c r="AJ114" i="7"/>
  <c r="Z114" i="7"/>
  <c r="R114" i="7"/>
  <c r="FI113" i="7"/>
  <c r="FG113" i="7"/>
  <c r="FD113" i="7"/>
  <c r="EX113" i="7"/>
  <c r="EW113" i="7"/>
  <c r="EV113" i="7"/>
  <c r="EK113" i="7"/>
  <c r="EJ113" i="7"/>
  <c r="EI113" i="7"/>
  <c r="EH113" i="7"/>
  <c r="EG113" i="7"/>
  <c r="EF113" i="7"/>
  <c r="EE113" i="7"/>
  <c r="ED113" i="7"/>
  <c r="EC113" i="7"/>
  <c r="EB113" i="7"/>
  <c r="EA113" i="7"/>
  <c r="DZ113" i="7"/>
  <c r="DY113" i="7"/>
  <c r="DX113" i="7"/>
  <c r="DW113" i="7"/>
  <c r="DV113" i="7"/>
  <c r="DU113" i="7"/>
  <c r="DT113" i="7"/>
  <c r="DS113" i="7"/>
  <c r="DR113" i="7"/>
  <c r="DQ113" i="7"/>
  <c r="DP113" i="7"/>
  <c r="DO113" i="7"/>
  <c r="DN113" i="7"/>
  <c r="DM113" i="7"/>
  <c r="DL113" i="7"/>
  <c r="DK113" i="7"/>
  <c r="DJ113" i="7"/>
  <c r="DI113" i="7"/>
  <c r="DH113" i="7"/>
  <c r="DG113" i="7"/>
  <c r="DF113" i="7"/>
  <c r="DE113" i="7"/>
  <c r="DD113" i="7"/>
  <c r="DC113" i="7"/>
  <c r="DB113" i="7"/>
  <c r="DA113" i="7"/>
  <c r="CZ113" i="7"/>
  <c r="CY113" i="7"/>
  <c r="CX113" i="7"/>
  <c r="CW113" i="7"/>
  <c r="CV113" i="7"/>
  <c r="CU113" i="7"/>
  <c r="CT113" i="7"/>
  <c r="CS113" i="7"/>
  <c r="CR113" i="7"/>
  <c r="CQ113" i="7"/>
  <c r="CP113" i="7"/>
  <c r="CO113" i="7"/>
  <c r="CN113" i="7"/>
  <c r="CM113" i="7"/>
  <c r="CL113" i="7"/>
  <c r="BS113" i="7"/>
  <c r="BU113" i="7" s="1"/>
  <c r="AO113" i="7"/>
  <c r="AN113" i="7"/>
  <c r="AU113" i="7" s="1"/>
  <c r="AJ113" i="7"/>
  <c r="Z113" i="7"/>
  <c r="R113" i="7"/>
  <c r="FI112" i="7"/>
  <c r="FG112" i="7"/>
  <c r="FD112" i="7"/>
  <c r="EX112" i="7"/>
  <c r="EW112" i="7"/>
  <c r="EV112" i="7"/>
  <c r="EK112" i="7"/>
  <c r="EJ112" i="7"/>
  <c r="EI112" i="7"/>
  <c r="EH112" i="7"/>
  <c r="EG112" i="7"/>
  <c r="EF112" i="7"/>
  <c r="EE112" i="7"/>
  <c r="ED112" i="7"/>
  <c r="EC112" i="7"/>
  <c r="EB112" i="7"/>
  <c r="EA112" i="7"/>
  <c r="DZ112" i="7"/>
  <c r="DY112" i="7"/>
  <c r="DX112" i="7"/>
  <c r="DW112" i="7"/>
  <c r="DV112" i="7"/>
  <c r="DU112" i="7"/>
  <c r="DT112" i="7"/>
  <c r="DS112" i="7"/>
  <c r="DR112" i="7"/>
  <c r="DQ112" i="7"/>
  <c r="DP112" i="7"/>
  <c r="DO112" i="7"/>
  <c r="DN112" i="7"/>
  <c r="DM112" i="7"/>
  <c r="DL112" i="7"/>
  <c r="DK112" i="7"/>
  <c r="DJ112" i="7"/>
  <c r="DI112" i="7"/>
  <c r="DH112" i="7"/>
  <c r="DG112" i="7"/>
  <c r="DF112" i="7"/>
  <c r="DE112" i="7"/>
  <c r="DD112" i="7"/>
  <c r="DC112" i="7"/>
  <c r="DB112" i="7"/>
  <c r="DA112" i="7"/>
  <c r="CZ112" i="7"/>
  <c r="CY112" i="7"/>
  <c r="CX112" i="7"/>
  <c r="CW112" i="7"/>
  <c r="CV112" i="7"/>
  <c r="CU112" i="7"/>
  <c r="CT112" i="7"/>
  <c r="CS112" i="7"/>
  <c r="CR112" i="7"/>
  <c r="CQ112" i="7"/>
  <c r="CP112" i="7"/>
  <c r="CO112" i="7"/>
  <c r="CN112" i="7"/>
  <c r="CM112" i="7"/>
  <c r="CL112" i="7"/>
  <c r="BS112" i="7"/>
  <c r="BU112" i="7" s="1"/>
  <c r="AO112" i="7"/>
  <c r="AN112" i="7"/>
  <c r="AJ112" i="7"/>
  <c r="Z112" i="7"/>
  <c r="R112" i="7"/>
  <c r="FI111" i="7"/>
  <c r="FG111" i="7"/>
  <c r="FD111" i="7"/>
  <c r="EX111" i="7"/>
  <c r="EW111" i="7"/>
  <c r="EV111" i="7"/>
  <c r="EK111" i="7"/>
  <c r="EJ111" i="7"/>
  <c r="EI111" i="7"/>
  <c r="EH111" i="7"/>
  <c r="EG111" i="7"/>
  <c r="EF111" i="7"/>
  <c r="EE111" i="7"/>
  <c r="ED111" i="7"/>
  <c r="EC111" i="7"/>
  <c r="EB111" i="7"/>
  <c r="EA111" i="7"/>
  <c r="DZ111" i="7"/>
  <c r="DY111" i="7"/>
  <c r="DX111" i="7"/>
  <c r="DW111" i="7"/>
  <c r="DV111" i="7"/>
  <c r="DU111" i="7"/>
  <c r="DT111" i="7"/>
  <c r="DS111" i="7"/>
  <c r="DR111" i="7"/>
  <c r="DQ111" i="7"/>
  <c r="DP111" i="7"/>
  <c r="DO111" i="7"/>
  <c r="DN111" i="7"/>
  <c r="DM111" i="7"/>
  <c r="DL111" i="7"/>
  <c r="DK111" i="7"/>
  <c r="DJ111" i="7"/>
  <c r="DI111" i="7"/>
  <c r="DH111" i="7"/>
  <c r="DG111" i="7"/>
  <c r="DF111" i="7"/>
  <c r="DE111" i="7"/>
  <c r="DD111" i="7"/>
  <c r="DC111" i="7"/>
  <c r="DB111" i="7"/>
  <c r="DA111" i="7"/>
  <c r="CZ111" i="7"/>
  <c r="CY111" i="7"/>
  <c r="CX111" i="7"/>
  <c r="CW111" i="7"/>
  <c r="CV111" i="7"/>
  <c r="CU111" i="7"/>
  <c r="CT111" i="7"/>
  <c r="CS111" i="7"/>
  <c r="CR111" i="7"/>
  <c r="CQ111" i="7"/>
  <c r="CP111" i="7"/>
  <c r="CO111" i="7"/>
  <c r="CN111" i="7"/>
  <c r="CM111" i="7"/>
  <c r="CL111" i="7"/>
  <c r="BS111" i="7"/>
  <c r="BU111" i="7" s="1"/>
  <c r="AO111" i="7"/>
  <c r="EY111" i="7" s="1"/>
  <c r="AN111" i="7"/>
  <c r="FB111" i="7" s="1"/>
  <c r="AJ111" i="7"/>
  <c r="Z111" i="7"/>
  <c r="R111" i="7"/>
  <c r="FI110" i="7"/>
  <c r="FG110" i="7"/>
  <c r="FD110" i="7"/>
  <c r="EX110" i="7"/>
  <c r="EW110" i="7"/>
  <c r="EV110" i="7"/>
  <c r="EK110" i="7"/>
  <c r="EJ110" i="7"/>
  <c r="EI110" i="7"/>
  <c r="EH110" i="7"/>
  <c r="EG110" i="7"/>
  <c r="EF110" i="7"/>
  <c r="EE110" i="7"/>
  <c r="ED110" i="7"/>
  <c r="EC110" i="7"/>
  <c r="EB110" i="7"/>
  <c r="EA110" i="7"/>
  <c r="DZ110" i="7"/>
  <c r="DY110" i="7"/>
  <c r="DX110" i="7"/>
  <c r="DW110" i="7"/>
  <c r="DV110" i="7"/>
  <c r="DU110" i="7"/>
  <c r="DT110" i="7"/>
  <c r="DS110" i="7"/>
  <c r="DR110" i="7"/>
  <c r="DQ110" i="7"/>
  <c r="DP110" i="7"/>
  <c r="DO110" i="7"/>
  <c r="DN110" i="7"/>
  <c r="DM110" i="7"/>
  <c r="DL110" i="7"/>
  <c r="DK110" i="7"/>
  <c r="DJ110" i="7"/>
  <c r="DI110" i="7"/>
  <c r="DH110" i="7"/>
  <c r="DG110" i="7"/>
  <c r="DF110" i="7"/>
  <c r="DE110" i="7"/>
  <c r="DD110" i="7"/>
  <c r="DC110" i="7"/>
  <c r="DB110" i="7"/>
  <c r="DA110" i="7"/>
  <c r="CZ110" i="7"/>
  <c r="CY110" i="7"/>
  <c r="CX110" i="7"/>
  <c r="CW110" i="7"/>
  <c r="CV110" i="7"/>
  <c r="CU110" i="7"/>
  <c r="CT110" i="7"/>
  <c r="CS110" i="7"/>
  <c r="CR110" i="7"/>
  <c r="CQ110" i="7"/>
  <c r="CP110" i="7"/>
  <c r="CO110" i="7"/>
  <c r="CN110" i="7"/>
  <c r="CM110" i="7"/>
  <c r="CL110" i="7"/>
  <c r="BS110" i="7"/>
  <c r="BU110" i="7" s="1"/>
  <c r="AO110" i="7"/>
  <c r="FE110" i="7" s="1"/>
  <c r="AN110" i="7"/>
  <c r="EZ110" i="7" s="1"/>
  <c r="AJ110" i="7"/>
  <c r="Z110" i="7"/>
  <c r="R110" i="7"/>
  <c r="FI109" i="7"/>
  <c r="FG109" i="7"/>
  <c r="FD109" i="7"/>
  <c r="EX109" i="7"/>
  <c r="EW109" i="7"/>
  <c r="EV109" i="7"/>
  <c r="EK109" i="7"/>
  <c r="EJ109" i="7"/>
  <c r="EI109" i="7"/>
  <c r="EH109" i="7"/>
  <c r="EG109" i="7"/>
  <c r="EF109" i="7"/>
  <c r="EE109" i="7"/>
  <c r="ED109" i="7"/>
  <c r="EC109" i="7"/>
  <c r="EB109" i="7"/>
  <c r="EA109" i="7"/>
  <c r="DZ109" i="7"/>
  <c r="DY109" i="7"/>
  <c r="DX109" i="7"/>
  <c r="DW109" i="7"/>
  <c r="DV109" i="7"/>
  <c r="DU109" i="7"/>
  <c r="DT109" i="7"/>
  <c r="DS109" i="7"/>
  <c r="DR109" i="7"/>
  <c r="DQ109" i="7"/>
  <c r="DP109" i="7"/>
  <c r="DO109" i="7"/>
  <c r="DN109" i="7"/>
  <c r="DM109" i="7"/>
  <c r="DL109" i="7"/>
  <c r="DK109" i="7"/>
  <c r="DJ109" i="7"/>
  <c r="DI109" i="7"/>
  <c r="DH109" i="7"/>
  <c r="DG109" i="7"/>
  <c r="DF109" i="7"/>
  <c r="DE109" i="7"/>
  <c r="DD109" i="7"/>
  <c r="DC109" i="7"/>
  <c r="DB109" i="7"/>
  <c r="DA109" i="7"/>
  <c r="CZ109" i="7"/>
  <c r="CY109" i="7"/>
  <c r="CX109" i="7"/>
  <c r="CW109" i="7"/>
  <c r="CV109" i="7"/>
  <c r="CU109" i="7"/>
  <c r="CT109" i="7"/>
  <c r="CS109" i="7"/>
  <c r="CR109" i="7"/>
  <c r="CQ109" i="7"/>
  <c r="CP109" i="7"/>
  <c r="CO109" i="7"/>
  <c r="CN109" i="7"/>
  <c r="CM109" i="7"/>
  <c r="CL109" i="7"/>
  <c r="BS109" i="7"/>
  <c r="BU109" i="7" s="1"/>
  <c r="AO109" i="7"/>
  <c r="FE109" i="7" s="1"/>
  <c r="AN109" i="7"/>
  <c r="AU109" i="7" s="1"/>
  <c r="AJ109" i="7"/>
  <c r="Z109" i="7"/>
  <c r="R109" i="7"/>
  <c r="FI108" i="7"/>
  <c r="FG108" i="7"/>
  <c r="FD108" i="7"/>
  <c r="EX108" i="7"/>
  <c r="EW108" i="7"/>
  <c r="EV108" i="7"/>
  <c r="EK108" i="7"/>
  <c r="EJ108" i="7"/>
  <c r="EI108" i="7"/>
  <c r="EH108" i="7"/>
  <c r="EG108" i="7"/>
  <c r="EF108" i="7"/>
  <c r="EE108" i="7"/>
  <c r="ED108" i="7"/>
  <c r="EC108" i="7"/>
  <c r="EB108" i="7"/>
  <c r="EA108" i="7"/>
  <c r="DZ108" i="7"/>
  <c r="DY108" i="7"/>
  <c r="DX108" i="7"/>
  <c r="DW108" i="7"/>
  <c r="DV108" i="7"/>
  <c r="DU108" i="7"/>
  <c r="DT108" i="7"/>
  <c r="DS108" i="7"/>
  <c r="DR108" i="7"/>
  <c r="DQ108" i="7"/>
  <c r="DP108" i="7"/>
  <c r="DO108" i="7"/>
  <c r="DN108" i="7"/>
  <c r="DM108" i="7"/>
  <c r="DL108" i="7"/>
  <c r="DK108" i="7"/>
  <c r="DJ108" i="7"/>
  <c r="DI108" i="7"/>
  <c r="DH108" i="7"/>
  <c r="DG108" i="7"/>
  <c r="DF108" i="7"/>
  <c r="DE108" i="7"/>
  <c r="DD108" i="7"/>
  <c r="DC108" i="7"/>
  <c r="DB108" i="7"/>
  <c r="DA108" i="7"/>
  <c r="CZ108" i="7"/>
  <c r="CY108" i="7"/>
  <c r="CX108" i="7"/>
  <c r="CW108" i="7"/>
  <c r="CV108" i="7"/>
  <c r="CU108" i="7"/>
  <c r="CT108" i="7"/>
  <c r="CS108" i="7"/>
  <c r="CR108" i="7"/>
  <c r="CQ108" i="7"/>
  <c r="CP108" i="7"/>
  <c r="CO108" i="7"/>
  <c r="CN108" i="7"/>
  <c r="CM108" i="7"/>
  <c r="CL108" i="7"/>
  <c r="BS108" i="7"/>
  <c r="BU108" i="7" s="1"/>
  <c r="AO108" i="7"/>
  <c r="EY108" i="7" s="1"/>
  <c r="AN108" i="7"/>
  <c r="EZ108" i="7" s="1"/>
  <c r="AJ108" i="7"/>
  <c r="Z108" i="7"/>
  <c r="R108" i="7"/>
  <c r="FI107" i="7"/>
  <c r="FG107" i="7"/>
  <c r="FD107" i="7"/>
  <c r="EX107" i="7"/>
  <c r="EW107" i="7"/>
  <c r="EV107" i="7"/>
  <c r="EK107" i="7"/>
  <c r="EJ107" i="7"/>
  <c r="EI107" i="7"/>
  <c r="EH107" i="7"/>
  <c r="EG107" i="7"/>
  <c r="EF107" i="7"/>
  <c r="EE107" i="7"/>
  <c r="ED107" i="7"/>
  <c r="EC107" i="7"/>
  <c r="EB107" i="7"/>
  <c r="EA107" i="7"/>
  <c r="DZ107" i="7"/>
  <c r="DY107" i="7"/>
  <c r="DX107" i="7"/>
  <c r="DW107" i="7"/>
  <c r="DV107" i="7"/>
  <c r="DU107" i="7"/>
  <c r="DT107" i="7"/>
  <c r="DS107" i="7"/>
  <c r="DR107" i="7"/>
  <c r="DQ107" i="7"/>
  <c r="DP107" i="7"/>
  <c r="DO107" i="7"/>
  <c r="DN107" i="7"/>
  <c r="DM107" i="7"/>
  <c r="DL107" i="7"/>
  <c r="DK107" i="7"/>
  <c r="DJ107" i="7"/>
  <c r="DI107" i="7"/>
  <c r="DH107" i="7"/>
  <c r="DG107" i="7"/>
  <c r="DF107" i="7"/>
  <c r="DE107" i="7"/>
  <c r="DD107" i="7"/>
  <c r="DC107" i="7"/>
  <c r="DB107" i="7"/>
  <c r="DA107" i="7"/>
  <c r="CZ107" i="7"/>
  <c r="CY107" i="7"/>
  <c r="CX107" i="7"/>
  <c r="CW107" i="7"/>
  <c r="CV107" i="7"/>
  <c r="CU107" i="7"/>
  <c r="CT107" i="7"/>
  <c r="CS107" i="7"/>
  <c r="CR107" i="7"/>
  <c r="CQ107" i="7"/>
  <c r="CP107" i="7"/>
  <c r="CO107" i="7"/>
  <c r="CN107" i="7"/>
  <c r="CM107" i="7"/>
  <c r="CL107" i="7"/>
  <c r="BS107" i="7"/>
  <c r="BU107" i="7" s="1"/>
  <c r="AO107" i="7"/>
  <c r="AN107" i="7"/>
  <c r="AJ107" i="7"/>
  <c r="Z107" i="7"/>
  <c r="R107" i="7"/>
  <c r="FI106" i="7"/>
  <c r="FG106" i="7"/>
  <c r="FD106" i="7"/>
  <c r="EX106" i="7"/>
  <c r="EW106" i="7"/>
  <c r="EV106" i="7"/>
  <c r="EK106" i="7"/>
  <c r="EJ106" i="7"/>
  <c r="EI106" i="7"/>
  <c r="EH106" i="7"/>
  <c r="EG106" i="7"/>
  <c r="EF106" i="7"/>
  <c r="EE106" i="7"/>
  <c r="ED106" i="7"/>
  <c r="EC106" i="7"/>
  <c r="EB106" i="7"/>
  <c r="EA106" i="7"/>
  <c r="DZ106" i="7"/>
  <c r="DY106" i="7"/>
  <c r="DX106" i="7"/>
  <c r="DW106" i="7"/>
  <c r="DV106" i="7"/>
  <c r="DU106" i="7"/>
  <c r="DT106" i="7"/>
  <c r="DS106" i="7"/>
  <c r="DR106" i="7"/>
  <c r="DQ106" i="7"/>
  <c r="DP106" i="7"/>
  <c r="DO106" i="7"/>
  <c r="DN106" i="7"/>
  <c r="DM106" i="7"/>
  <c r="DL106" i="7"/>
  <c r="DK106" i="7"/>
  <c r="DJ106" i="7"/>
  <c r="DI106" i="7"/>
  <c r="DH106" i="7"/>
  <c r="DG106" i="7"/>
  <c r="DF106" i="7"/>
  <c r="DE106" i="7"/>
  <c r="DD106" i="7"/>
  <c r="DC106" i="7"/>
  <c r="DB106" i="7"/>
  <c r="DA106" i="7"/>
  <c r="CZ106" i="7"/>
  <c r="CY106" i="7"/>
  <c r="CX106" i="7"/>
  <c r="CW106" i="7"/>
  <c r="CV106" i="7"/>
  <c r="CU106" i="7"/>
  <c r="CT106" i="7"/>
  <c r="CS106" i="7"/>
  <c r="CR106" i="7"/>
  <c r="CQ106" i="7"/>
  <c r="CP106" i="7"/>
  <c r="CO106" i="7"/>
  <c r="CN106" i="7"/>
  <c r="CM106" i="7"/>
  <c r="CL106" i="7"/>
  <c r="BS106" i="7"/>
  <c r="BU106" i="7" s="1"/>
  <c r="AO106" i="7"/>
  <c r="FE106" i="7" s="1"/>
  <c r="AN106" i="7"/>
  <c r="EZ106" i="7" s="1"/>
  <c r="AJ106" i="7"/>
  <c r="Z106" i="7"/>
  <c r="R106" i="7"/>
  <c r="FI105" i="7"/>
  <c r="FG105" i="7"/>
  <c r="FD105" i="7"/>
  <c r="EX105" i="7"/>
  <c r="EW105" i="7"/>
  <c r="EV105" i="7"/>
  <c r="EK105" i="7"/>
  <c r="EJ105" i="7"/>
  <c r="EI105" i="7"/>
  <c r="EH105" i="7"/>
  <c r="EG105" i="7"/>
  <c r="EF105" i="7"/>
  <c r="EE105" i="7"/>
  <c r="ED105" i="7"/>
  <c r="EC105" i="7"/>
  <c r="EB105" i="7"/>
  <c r="EA105" i="7"/>
  <c r="DZ105" i="7"/>
  <c r="DY105" i="7"/>
  <c r="DX105" i="7"/>
  <c r="DW105" i="7"/>
  <c r="DV105" i="7"/>
  <c r="DU105" i="7"/>
  <c r="DT105" i="7"/>
  <c r="DS105" i="7"/>
  <c r="DR105" i="7"/>
  <c r="DQ105" i="7"/>
  <c r="DP105" i="7"/>
  <c r="DO105" i="7"/>
  <c r="DN105" i="7"/>
  <c r="DM105" i="7"/>
  <c r="DL105" i="7"/>
  <c r="DK105" i="7"/>
  <c r="DJ105" i="7"/>
  <c r="DI105" i="7"/>
  <c r="DH105" i="7"/>
  <c r="DG105" i="7"/>
  <c r="DF105" i="7"/>
  <c r="DE105" i="7"/>
  <c r="DD105" i="7"/>
  <c r="DC105" i="7"/>
  <c r="DB105" i="7"/>
  <c r="DA105" i="7"/>
  <c r="CZ105" i="7"/>
  <c r="CY105" i="7"/>
  <c r="CX105" i="7"/>
  <c r="CW105" i="7"/>
  <c r="CV105" i="7"/>
  <c r="CU105" i="7"/>
  <c r="CT105" i="7"/>
  <c r="CS105" i="7"/>
  <c r="CR105" i="7"/>
  <c r="CQ105" i="7"/>
  <c r="CP105" i="7"/>
  <c r="CO105" i="7"/>
  <c r="CN105" i="7"/>
  <c r="CM105" i="7"/>
  <c r="CL105" i="7"/>
  <c r="BS105" i="7"/>
  <c r="BU105" i="7" s="1"/>
  <c r="AO105" i="7"/>
  <c r="AN105" i="7"/>
  <c r="EZ105" i="7" s="1"/>
  <c r="AJ105" i="7"/>
  <c r="Z105" i="7"/>
  <c r="R105" i="7"/>
  <c r="FI104" i="7"/>
  <c r="FG104" i="7"/>
  <c r="FD104" i="7"/>
  <c r="EX104" i="7"/>
  <c r="EW104" i="7"/>
  <c r="EV104" i="7"/>
  <c r="EK104" i="7"/>
  <c r="EJ104" i="7"/>
  <c r="EI104" i="7"/>
  <c r="EH104" i="7"/>
  <c r="EG104" i="7"/>
  <c r="EF104" i="7"/>
  <c r="EE104" i="7"/>
  <c r="ED104" i="7"/>
  <c r="EC104" i="7"/>
  <c r="EB104" i="7"/>
  <c r="EA104" i="7"/>
  <c r="DZ104" i="7"/>
  <c r="DY104" i="7"/>
  <c r="DX104" i="7"/>
  <c r="DW104" i="7"/>
  <c r="DV104" i="7"/>
  <c r="DU104" i="7"/>
  <c r="DT104" i="7"/>
  <c r="DS104" i="7"/>
  <c r="DR104" i="7"/>
  <c r="DQ104" i="7"/>
  <c r="DP104" i="7"/>
  <c r="DO104" i="7"/>
  <c r="DN104" i="7"/>
  <c r="DM104" i="7"/>
  <c r="DL104" i="7"/>
  <c r="DK104" i="7"/>
  <c r="DJ104" i="7"/>
  <c r="DI104" i="7"/>
  <c r="DH104" i="7"/>
  <c r="DG104" i="7"/>
  <c r="DF104" i="7"/>
  <c r="DE104" i="7"/>
  <c r="DD104" i="7"/>
  <c r="DC104" i="7"/>
  <c r="DB104" i="7"/>
  <c r="DA104" i="7"/>
  <c r="CZ104" i="7"/>
  <c r="CY104" i="7"/>
  <c r="CX104" i="7"/>
  <c r="CW104" i="7"/>
  <c r="CV104" i="7"/>
  <c r="CU104" i="7"/>
  <c r="CT104" i="7"/>
  <c r="CS104" i="7"/>
  <c r="CR104" i="7"/>
  <c r="CQ104" i="7"/>
  <c r="CP104" i="7"/>
  <c r="CO104" i="7"/>
  <c r="CN104" i="7"/>
  <c r="CM104" i="7"/>
  <c r="CL104" i="7"/>
  <c r="BS104" i="7"/>
  <c r="BU104" i="7" s="1"/>
  <c r="AO104" i="7"/>
  <c r="AN104" i="7"/>
  <c r="AJ104" i="7"/>
  <c r="Z104" i="7"/>
  <c r="R104" i="7"/>
  <c r="FI103" i="7"/>
  <c r="FG103" i="7"/>
  <c r="FD103" i="7"/>
  <c r="EX103" i="7"/>
  <c r="EW103" i="7"/>
  <c r="EV103" i="7"/>
  <c r="EK103" i="7"/>
  <c r="EJ103" i="7"/>
  <c r="EI103" i="7"/>
  <c r="EH103" i="7"/>
  <c r="EG103" i="7"/>
  <c r="EF103" i="7"/>
  <c r="EE103" i="7"/>
  <c r="ED103" i="7"/>
  <c r="EC103" i="7"/>
  <c r="EB103" i="7"/>
  <c r="EA103" i="7"/>
  <c r="DZ103" i="7"/>
  <c r="DY103" i="7"/>
  <c r="DX103" i="7"/>
  <c r="DW103" i="7"/>
  <c r="DV103" i="7"/>
  <c r="DU103" i="7"/>
  <c r="DT103" i="7"/>
  <c r="DS103" i="7"/>
  <c r="DR103" i="7"/>
  <c r="DQ103" i="7"/>
  <c r="DP103" i="7"/>
  <c r="DO103" i="7"/>
  <c r="DN103" i="7"/>
  <c r="DM103" i="7"/>
  <c r="DL103" i="7"/>
  <c r="DK103" i="7"/>
  <c r="DJ103" i="7"/>
  <c r="DI103" i="7"/>
  <c r="DH103" i="7"/>
  <c r="DG103" i="7"/>
  <c r="DF103" i="7"/>
  <c r="DE103" i="7"/>
  <c r="DD103" i="7"/>
  <c r="DC103" i="7"/>
  <c r="DB103" i="7"/>
  <c r="DA103" i="7"/>
  <c r="CZ103" i="7"/>
  <c r="CY103" i="7"/>
  <c r="CX103" i="7"/>
  <c r="CW103" i="7"/>
  <c r="CV103" i="7"/>
  <c r="CU103" i="7"/>
  <c r="CT103" i="7"/>
  <c r="CS103" i="7"/>
  <c r="CR103" i="7"/>
  <c r="CQ103" i="7"/>
  <c r="CP103" i="7"/>
  <c r="CO103" i="7"/>
  <c r="CN103" i="7"/>
  <c r="CM103" i="7"/>
  <c r="CL103" i="7"/>
  <c r="BS103" i="7"/>
  <c r="BU103" i="7" s="1"/>
  <c r="AO103" i="7"/>
  <c r="FE103" i="7" s="1"/>
  <c r="AN103" i="7"/>
  <c r="AJ103" i="7"/>
  <c r="Z103" i="7"/>
  <c r="R103" i="7"/>
  <c r="FI102" i="7"/>
  <c r="FG102" i="7"/>
  <c r="FD102" i="7"/>
  <c r="EX102" i="7"/>
  <c r="EW102" i="7"/>
  <c r="EV102" i="7"/>
  <c r="EK102" i="7"/>
  <c r="EJ102" i="7"/>
  <c r="EI102" i="7"/>
  <c r="EH102" i="7"/>
  <c r="EG102" i="7"/>
  <c r="EF102" i="7"/>
  <c r="EE102" i="7"/>
  <c r="ED102" i="7"/>
  <c r="EC102" i="7"/>
  <c r="EB102" i="7"/>
  <c r="EA102" i="7"/>
  <c r="DZ102" i="7"/>
  <c r="DY102" i="7"/>
  <c r="DX102" i="7"/>
  <c r="DW102" i="7"/>
  <c r="DV102" i="7"/>
  <c r="DU102" i="7"/>
  <c r="DT102" i="7"/>
  <c r="DS102" i="7"/>
  <c r="DR102" i="7"/>
  <c r="DQ102" i="7"/>
  <c r="DP102" i="7"/>
  <c r="DO102" i="7"/>
  <c r="DN102" i="7"/>
  <c r="DM102" i="7"/>
  <c r="DL102" i="7"/>
  <c r="DK102" i="7"/>
  <c r="DJ102" i="7"/>
  <c r="DI102" i="7"/>
  <c r="DH102" i="7"/>
  <c r="DG102" i="7"/>
  <c r="DF102" i="7"/>
  <c r="DE102" i="7"/>
  <c r="DD102" i="7"/>
  <c r="DC102" i="7"/>
  <c r="DB102" i="7"/>
  <c r="DA102" i="7"/>
  <c r="CZ102" i="7"/>
  <c r="CY102" i="7"/>
  <c r="CX102" i="7"/>
  <c r="CW102" i="7"/>
  <c r="CV102" i="7"/>
  <c r="CU102" i="7"/>
  <c r="CT102" i="7"/>
  <c r="CS102" i="7"/>
  <c r="CR102" i="7"/>
  <c r="CQ102" i="7"/>
  <c r="CP102" i="7"/>
  <c r="CO102" i="7"/>
  <c r="CN102" i="7"/>
  <c r="CM102" i="7"/>
  <c r="CL102" i="7"/>
  <c r="BS102" i="7"/>
  <c r="BU102" i="7" s="1"/>
  <c r="AO102" i="7"/>
  <c r="FF102" i="7" s="1"/>
  <c r="AN102" i="7"/>
  <c r="EZ102" i="7" s="1"/>
  <c r="AJ102" i="7"/>
  <c r="Z102" i="7"/>
  <c r="R102" i="7"/>
  <c r="FI101" i="7"/>
  <c r="FG101" i="7"/>
  <c r="FD101" i="7"/>
  <c r="EX101" i="7"/>
  <c r="EW101" i="7"/>
  <c r="EV101" i="7"/>
  <c r="EK101" i="7"/>
  <c r="EJ101" i="7"/>
  <c r="EI101" i="7"/>
  <c r="EH101" i="7"/>
  <c r="EG101" i="7"/>
  <c r="EF101" i="7"/>
  <c r="EE101" i="7"/>
  <c r="ED101" i="7"/>
  <c r="EC101" i="7"/>
  <c r="EB101" i="7"/>
  <c r="EA101" i="7"/>
  <c r="DZ101" i="7"/>
  <c r="DY101" i="7"/>
  <c r="DX101" i="7"/>
  <c r="DW101" i="7"/>
  <c r="DV101" i="7"/>
  <c r="DU101" i="7"/>
  <c r="DT101" i="7"/>
  <c r="DS101" i="7"/>
  <c r="DR101" i="7"/>
  <c r="DQ101" i="7"/>
  <c r="DP101" i="7"/>
  <c r="DO101" i="7"/>
  <c r="DN101" i="7"/>
  <c r="DM101" i="7"/>
  <c r="DL101" i="7"/>
  <c r="DK101" i="7"/>
  <c r="DJ101" i="7"/>
  <c r="DI101" i="7"/>
  <c r="DH101" i="7"/>
  <c r="DG101" i="7"/>
  <c r="DF101" i="7"/>
  <c r="DE101" i="7"/>
  <c r="DD101" i="7"/>
  <c r="DC101" i="7"/>
  <c r="DB101" i="7"/>
  <c r="DA101" i="7"/>
  <c r="CZ101" i="7"/>
  <c r="CY101" i="7"/>
  <c r="CX101" i="7"/>
  <c r="CW101" i="7"/>
  <c r="CV101" i="7"/>
  <c r="CU101" i="7"/>
  <c r="CT101" i="7"/>
  <c r="CS101" i="7"/>
  <c r="CR101" i="7"/>
  <c r="CQ101" i="7"/>
  <c r="CP101" i="7"/>
  <c r="CO101" i="7"/>
  <c r="CN101" i="7"/>
  <c r="CM101" i="7"/>
  <c r="CL101" i="7"/>
  <c r="BS101" i="7"/>
  <c r="BU101" i="7" s="1"/>
  <c r="AO101" i="7"/>
  <c r="FA101" i="7" s="1"/>
  <c r="AN101" i="7"/>
  <c r="AJ101" i="7"/>
  <c r="Z101" i="7"/>
  <c r="R101" i="7"/>
  <c r="FI100" i="7"/>
  <c r="FG100" i="7"/>
  <c r="FD100" i="7"/>
  <c r="EX100" i="7"/>
  <c r="EW100" i="7"/>
  <c r="EV100" i="7"/>
  <c r="EK100" i="7"/>
  <c r="EJ100" i="7"/>
  <c r="EI100" i="7"/>
  <c r="EH100" i="7"/>
  <c r="EG100" i="7"/>
  <c r="EF100" i="7"/>
  <c r="EE100" i="7"/>
  <c r="ED100" i="7"/>
  <c r="EC100" i="7"/>
  <c r="EB100" i="7"/>
  <c r="EA100" i="7"/>
  <c r="DZ100" i="7"/>
  <c r="DY100" i="7"/>
  <c r="DX100" i="7"/>
  <c r="DW100" i="7"/>
  <c r="DV100" i="7"/>
  <c r="DU100" i="7"/>
  <c r="DT100" i="7"/>
  <c r="DS100" i="7"/>
  <c r="DR100" i="7"/>
  <c r="DQ100" i="7"/>
  <c r="DP100" i="7"/>
  <c r="DO100" i="7"/>
  <c r="DN100" i="7"/>
  <c r="DM100" i="7"/>
  <c r="DL100" i="7"/>
  <c r="DK100" i="7"/>
  <c r="DJ100" i="7"/>
  <c r="DI100" i="7"/>
  <c r="DH100" i="7"/>
  <c r="DG100" i="7"/>
  <c r="DF100" i="7"/>
  <c r="DE100" i="7"/>
  <c r="DD100" i="7"/>
  <c r="DC100" i="7"/>
  <c r="DB100" i="7"/>
  <c r="DA100" i="7"/>
  <c r="CZ100" i="7"/>
  <c r="CY100" i="7"/>
  <c r="CX100" i="7"/>
  <c r="CW100" i="7"/>
  <c r="CV100" i="7"/>
  <c r="CU100" i="7"/>
  <c r="CT100" i="7"/>
  <c r="CS100" i="7"/>
  <c r="CR100" i="7"/>
  <c r="CQ100" i="7"/>
  <c r="CP100" i="7"/>
  <c r="CO100" i="7"/>
  <c r="CN100" i="7"/>
  <c r="CM100" i="7"/>
  <c r="CL100" i="7"/>
  <c r="BS100" i="7"/>
  <c r="BU100" i="7" s="1"/>
  <c r="AO100" i="7"/>
  <c r="AN100" i="7"/>
  <c r="EZ100" i="7" s="1"/>
  <c r="AJ100" i="7"/>
  <c r="Z100" i="7"/>
  <c r="R100" i="7"/>
  <c r="FI99" i="7"/>
  <c r="FG99" i="7"/>
  <c r="FF99" i="7"/>
  <c r="FD99" i="7"/>
  <c r="EX99" i="7"/>
  <c r="EW99" i="7"/>
  <c r="EV99" i="7"/>
  <c r="EK99" i="7"/>
  <c r="EJ99" i="7"/>
  <c r="EI99" i="7"/>
  <c r="EH99" i="7"/>
  <c r="EG99" i="7"/>
  <c r="EF99" i="7"/>
  <c r="EE99" i="7"/>
  <c r="ED99" i="7"/>
  <c r="EC99" i="7"/>
  <c r="EB99" i="7"/>
  <c r="EA99" i="7"/>
  <c r="DZ99" i="7"/>
  <c r="DY99" i="7"/>
  <c r="DX99" i="7"/>
  <c r="DW99" i="7"/>
  <c r="DV99" i="7"/>
  <c r="DU99" i="7"/>
  <c r="DT99" i="7"/>
  <c r="DS99" i="7"/>
  <c r="DR99" i="7"/>
  <c r="DQ99" i="7"/>
  <c r="DP99" i="7"/>
  <c r="DO99" i="7"/>
  <c r="DN99" i="7"/>
  <c r="DM99" i="7"/>
  <c r="DL99" i="7"/>
  <c r="DK99" i="7"/>
  <c r="DJ99" i="7"/>
  <c r="DI99" i="7"/>
  <c r="DH99" i="7"/>
  <c r="DG99" i="7"/>
  <c r="DF99" i="7"/>
  <c r="DE99" i="7"/>
  <c r="DD99" i="7"/>
  <c r="DC99" i="7"/>
  <c r="DB99" i="7"/>
  <c r="DA99" i="7"/>
  <c r="CZ99" i="7"/>
  <c r="CY99" i="7"/>
  <c r="CX99" i="7"/>
  <c r="CW99" i="7"/>
  <c r="CV99" i="7"/>
  <c r="CU99" i="7"/>
  <c r="CT99" i="7"/>
  <c r="CS99" i="7"/>
  <c r="CR99" i="7"/>
  <c r="CQ99" i="7"/>
  <c r="CP99" i="7"/>
  <c r="CO99" i="7"/>
  <c r="CN99" i="7"/>
  <c r="CM99" i="7"/>
  <c r="CL99" i="7"/>
  <c r="BS99" i="7"/>
  <c r="BU99" i="7" s="1"/>
  <c r="BK99" i="7"/>
  <c r="BM99" i="7" s="1"/>
  <c r="BO99" i="7" s="1"/>
  <c r="AO99" i="7"/>
  <c r="FA99" i="7" s="1"/>
  <c r="AN99" i="7"/>
  <c r="AJ99" i="7"/>
  <c r="Z99" i="7"/>
  <c r="R99" i="7"/>
  <c r="FI98" i="7"/>
  <c r="FG98" i="7"/>
  <c r="FF98" i="7"/>
  <c r="FD98" i="7"/>
  <c r="EX98" i="7"/>
  <c r="EW98" i="7"/>
  <c r="EV98" i="7"/>
  <c r="EK98" i="7"/>
  <c r="EJ98" i="7"/>
  <c r="EI98" i="7"/>
  <c r="EH98" i="7"/>
  <c r="EG98" i="7"/>
  <c r="EF98" i="7"/>
  <c r="EE98" i="7"/>
  <c r="ED98" i="7"/>
  <c r="EC98" i="7"/>
  <c r="EB98" i="7"/>
  <c r="EA98" i="7"/>
  <c r="DZ98" i="7"/>
  <c r="DY98" i="7"/>
  <c r="DX98" i="7"/>
  <c r="DW98" i="7"/>
  <c r="DV98" i="7"/>
  <c r="DU98" i="7"/>
  <c r="DT98" i="7"/>
  <c r="DS98" i="7"/>
  <c r="DR98" i="7"/>
  <c r="DQ98" i="7"/>
  <c r="DP98" i="7"/>
  <c r="DO98" i="7"/>
  <c r="DN98" i="7"/>
  <c r="DM98" i="7"/>
  <c r="DL98" i="7"/>
  <c r="DK98" i="7"/>
  <c r="DJ98" i="7"/>
  <c r="DI98" i="7"/>
  <c r="DH98" i="7"/>
  <c r="DG98" i="7"/>
  <c r="DF98" i="7"/>
  <c r="DE98" i="7"/>
  <c r="DD98" i="7"/>
  <c r="DC98" i="7"/>
  <c r="DB98" i="7"/>
  <c r="DA98" i="7"/>
  <c r="CZ98" i="7"/>
  <c r="CY98" i="7"/>
  <c r="CX98" i="7"/>
  <c r="CW98" i="7"/>
  <c r="CV98" i="7"/>
  <c r="CU98" i="7"/>
  <c r="CT98" i="7"/>
  <c r="CS98" i="7"/>
  <c r="CR98" i="7"/>
  <c r="CQ98" i="7"/>
  <c r="CP98" i="7"/>
  <c r="CO98" i="7"/>
  <c r="CN98" i="7"/>
  <c r="CM98" i="7"/>
  <c r="CL98" i="7"/>
  <c r="BS98" i="7"/>
  <c r="BU98" i="7" s="1"/>
  <c r="BK98" i="7"/>
  <c r="BM98" i="7" s="1"/>
  <c r="BO98" i="7" s="1"/>
  <c r="BX98" i="7" s="1"/>
  <c r="AO98" i="7"/>
  <c r="FA98" i="7" s="1"/>
  <c r="AN98" i="7"/>
  <c r="EZ98" i="7" s="1"/>
  <c r="AJ98" i="7"/>
  <c r="Z98" i="7"/>
  <c r="R98" i="7"/>
  <c r="FI97" i="7"/>
  <c r="FG97" i="7"/>
  <c r="FF97" i="7"/>
  <c r="FD97" i="7"/>
  <c r="EX97" i="7"/>
  <c r="EW97" i="7"/>
  <c r="EV97" i="7"/>
  <c r="EK97" i="7"/>
  <c r="EJ97" i="7"/>
  <c r="EI97" i="7"/>
  <c r="EH97" i="7"/>
  <c r="EG97" i="7"/>
  <c r="EF97" i="7"/>
  <c r="EE97" i="7"/>
  <c r="ED97" i="7"/>
  <c r="EC97" i="7"/>
  <c r="EB97" i="7"/>
  <c r="EA97" i="7"/>
  <c r="DZ97" i="7"/>
  <c r="DY97" i="7"/>
  <c r="DX97" i="7"/>
  <c r="DW97" i="7"/>
  <c r="DV97" i="7"/>
  <c r="DU97" i="7"/>
  <c r="DT97" i="7"/>
  <c r="DS97" i="7"/>
  <c r="DR97" i="7"/>
  <c r="DQ97" i="7"/>
  <c r="DP97" i="7"/>
  <c r="DO97" i="7"/>
  <c r="DN97" i="7"/>
  <c r="DM97" i="7"/>
  <c r="DL97" i="7"/>
  <c r="DK97" i="7"/>
  <c r="DJ97" i="7"/>
  <c r="DI97" i="7"/>
  <c r="DH97" i="7"/>
  <c r="DG97" i="7"/>
  <c r="DF97" i="7"/>
  <c r="DE97" i="7"/>
  <c r="DD97" i="7"/>
  <c r="DC97" i="7"/>
  <c r="DB97" i="7"/>
  <c r="DA97" i="7"/>
  <c r="CZ97" i="7"/>
  <c r="CY97" i="7"/>
  <c r="CX97" i="7"/>
  <c r="CW97" i="7"/>
  <c r="CV97" i="7"/>
  <c r="CU97" i="7"/>
  <c r="CT97" i="7"/>
  <c r="CS97" i="7"/>
  <c r="CR97" i="7"/>
  <c r="CQ97" i="7"/>
  <c r="CP97" i="7"/>
  <c r="CO97" i="7"/>
  <c r="CN97" i="7"/>
  <c r="CM97" i="7"/>
  <c r="CL97" i="7"/>
  <c r="BS97" i="7"/>
  <c r="BU97" i="7" s="1"/>
  <c r="BK97" i="7"/>
  <c r="BM97" i="7" s="1"/>
  <c r="BO97" i="7" s="1"/>
  <c r="BX97" i="7" s="1"/>
  <c r="AO97" i="7"/>
  <c r="FE97" i="7" s="1"/>
  <c r="AN97" i="7"/>
  <c r="FB97" i="7" s="1"/>
  <c r="AJ97" i="7"/>
  <c r="Z97" i="7"/>
  <c r="R97" i="7"/>
  <c r="FI96" i="7"/>
  <c r="FG96" i="7"/>
  <c r="FF96" i="7"/>
  <c r="FD96" i="7"/>
  <c r="EX96" i="7"/>
  <c r="EW96" i="7"/>
  <c r="EV96" i="7"/>
  <c r="EK96" i="7"/>
  <c r="EJ96" i="7"/>
  <c r="EI96" i="7"/>
  <c r="EH96" i="7"/>
  <c r="EG96" i="7"/>
  <c r="EF96" i="7"/>
  <c r="EE96" i="7"/>
  <c r="ED96" i="7"/>
  <c r="EC96" i="7"/>
  <c r="EB96" i="7"/>
  <c r="EA96" i="7"/>
  <c r="DZ96" i="7"/>
  <c r="DY96" i="7"/>
  <c r="DX96" i="7"/>
  <c r="DW96" i="7"/>
  <c r="DV96" i="7"/>
  <c r="DU96" i="7"/>
  <c r="DT96" i="7"/>
  <c r="DS96" i="7"/>
  <c r="DR96" i="7"/>
  <c r="DQ96" i="7"/>
  <c r="DP96" i="7"/>
  <c r="DO96" i="7"/>
  <c r="DN96" i="7"/>
  <c r="DM96" i="7"/>
  <c r="DL96" i="7"/>
  <c r="DK96" i="7"/>
  <c r="DJ96" i="7"/>
  <c r="DI96" i="7"/>
  <c r="DH96" i="7"/>
  <c r="DG96" i="7"/>
  <c r="DF96" i="7"/>
  <c r="DE96" i="7"/>
  <c r="DD96" i="7"/>
  <c r="DC96" i="7"/>
  <c r="DB96" i="7"/>
  <c r="DA96" i="7"/>
  <c r="CZ96" i="7"/>
  <c r="CY96" i="7"/>
  <c r="CX96" i="7"/>
  <c r="CW96" i="7"/>
  <c r="CV96" i="7"/>
  <c r="CU96" i="7"/>
  <c r="CT96" i="7"/>
  <c r="CS96" i="7"/>
  <c r="CR96" i="7"/>
  <c r="CQ96" i="7"/>
  <c r="CP96" i="7"/>
  <c r="CO96" i="7"/>
  <c r="CN96" i="7"/>
  <c r="CM96" i="7"/>
  <c r="CL96" i="7"/>
  <c r="BS96" i="7"/>
  <c r="BU96" i="7" s="1"/>
  <c r="BK96" i="7"/>
  <c r="BM96" i="7" s="1"/>
  <c r="BO96" i="7" s="1"/>
  <c r="AO96" i="7"/>
  <c r="AN96" i="7"/>
  <c r="FH96" i="7" s="1"/>
  <c r="AJ96" i="7"/>
  <c r="Z96" i="7"/>
  <c r="R96" i="7"/>
  <c r="FI95" i="7"/>
  <c r="FG95" i="7"/>
  <c r="FF95" i="7"/>
  <c r="FD95" i="7"/>
  <c r="EX95" i="7"/>
  <c r="EW95" i="7"/>
  <c r="EV95" i="7"/>
  <c r="EK95" i="7"/>
  <c r="EJ95" i="7"/>
  <c r="EI95" i="7"/>
  <c r="EH95" i="7"/>
  <c r="EG95" i="7"/>
  <c r="EF95" i="7"/>
  <c r="EE95" i="7"/>
  <c r="ED95" i="7"/>
  <c r="EC95" i="7"/>
  <c r="EB95" i="7"/>
  <c r="EA95" i="7"/>
  <c r="DZ95" i="7"/>
  <c r="DY95" i="7"/>
  <c r="DX95" i="7"/>
  <c r="DW95" i="7"/>
  <c r="DV95" i="7"/>
  <c r="DU95" i="7"/>
  <c r="DT95" i="7"/>
  <c r="DS95" i="7"/>
  <c r="DR95" i="7"/>
  <c r="DQ95" i="7"/>
  <c r="DP95" i="7"/>
  <c r="DO95" i="7"/>
  <c r="DN95" i="7"/>
  <c r="DM95" i="7"/>
  <c r="DL95" i="7"/>
  <c r="DK95" i="7"/>
  <c r="DJ95" i="7"/>
  <c r="DI95" i="7"/>
  <c r="DH95" i="7"/>
  <c r="DG95" i="7"/>
  <c r="DF95" i="7"/>
  <c r="DE95" i="7"/>
  <c r="DD95" i="7"/>
  <c r="DC95" i="7"/>
  <c r="DB95" i="7"/>
  <c r="DA95" i="7"/>
  <c r="CZ95" i="7"/>
  <c r="CY95" i="7"/>
  <c r="CX95" i="7"/>
  <c r="CW95" i="7"/>
  <c r="CV95" i="7"/>
  <c r="CU95" i="7"/>
  <c r="CT95" i="7"/>
  <c r="CS95" i="7"/>
  <c r="CR95" i="7"/>
  <c r="CQ95" i="7"/>
  <c r="CP95" i="7"/>
  <c r="CO95" i="7"/>
  <c r="CN95" i="7"/>
  <c r="CM95" i="7"/>
  <c r="CL95" i="7"/>
  <c r="BS95" i="7"/>
  <c r="BU95" i="7" s="1"/>
  <c r="BK95" i="7"/>
  <c r="BM95" i="7" s="1"/>
  <c r="BO95" i="7" s="1"/>
  <c r="BX95" i="7" s="1"/>
  <c r="AO95" i="7"/>
  <c r="AN95" i="7"/>
  <c r="AJ95" i="7"/>
  <c r="Z95" i="7"/>
  <c r="R95" i="7"/>
  <c r="FI94" i="7"/>
  <c r="FG94" i="7"/>
  <c r="FF94" i="7"/>
  <c r="FD94" i="7"/>
  <c r="EX94" i="7"/>
  <c r="EW94" i="7"/>
  <c r="EV94" i="7"/>
  <c r="EK94" i="7"/>
  <c r="EJ94" i="7"/>
  <c r="EI94" i="7"/>
  <c r="EH94" i="7"/>
  <c r="EG94" i="7"/>
  <c r="EF94" i="7"/>
  <c r="EE94" i="7"/>
  <c r="ED94" i="7"/>
  <c r="EC94" i="7"/>
  <c r="EB94" i="7"/>
  <c r="EA94" i="7"/>
  <c r="DZ94" i="7"/>
  <c r="DY94" i="7"/>
  <c r="DX94" i="7"/>
  <c r="DW94" i="7"/>
  <c r="DV94" i="7"/>
  <c r="DU94" i="7"/>
  <c r="DT94" i="7"/>
  <c r="DS94" i="7"/>
  <c r="DR94" i="7"/>
  <c r="DQ94" i="7"/>
  <c r="DP94" i="7"/>
  <c r="DO94" i="7"/>
  <c r="DN94" i="7"/>
  <c r="DM94" i="7"/>
  <c r="DL94" i="7"/>
  <c r="DK94" i="7"/>
  <c r="DJ94" i="7"/>
  <c r="DI94" i="7"/>
  <c r="DH94" i="7"/>
  <c r="DG94" i="7"/>
  <c r="DF94" i="7"/>
  <c r="DE94" i="7"/>
  <c r="DD94" i="7"/>
  <c r="DC94" i="7"/>
  <c r="DB94" i="7"/>
  <c r="DA94" i="7"/>
  <c r="CZ94" i="7"/>
  <c r="CY94" i="7"/>
  <c r="CX94" i="7"/>
  <c r="CW94" i="7"/>
  <c r="CV94" i="7"/>
  <c r="CU94" i="7"/>
  <c r="CT94" i="7"/>
  <c r="CS94" i="7"/>
  <c r="CR94" i="7"/>
  <c r="CQ94" i="7"/>
  <c r="CP94" i="7"/>
  <c r="CO94" i="7"/>
  <c r="CN94" i="7"/>
  <c r="CM94" i="7"/>
  <c r="CL94" i="7"/>
  <c r="BS94" i="7"/>
  <c r="BU94" i="7" s="1"/>
  <c r="BK94" i="7"/>
  <c r="BM94" i="7" s="1"/>
  <c r="BO94" i="7" s="1"/>
  <c r="AO94" i="7"/>
  <c r="AN94" i="7"/>
  <c r="FH94" i="7" s="1"/>
  <c r="AJ94" i="7"/>
  <c r="Z94" i="7"/>
  <c r="R94" i="7"/>
  <c r="FI93" i="7"/>
  <c r="FG93" i="7"/>
  <c r="FF93" i="7"/>
  <c r="FD93" i="7"/>
  <c r="EX93" i="7"/>
  <c r="EW93" i="7"/>
  <c r="EV93" i="7"/>
  <c r="EK93" i="7"/>
  <c r="EJ93" i="7"/>
  <c r="EI93" i="7"/>
  <c r="EH93" i="7"/>
  <c r="EG93" i="7"/>
  <c r="EF93" i="7"/>
  <c r="EE93" i="7"/>
  <c r="ED93" i="7"/>
  <c r="EC93" i="7"/>
  <c r="EB93" i="7"/>
  <c r="EA93" i="7"/>
  <c r="DZ93" i="7"/>
  <c r="DY93" i="7"/>
  <c r="DX93" i="7"/>
  <c r="DW93" i="7"/>
  <c r="DV93" i="7"/>
  <c r="DU93" i="7"/>
  <c r="DT93" i="7"/>
  <c r="DS93" i="7"/>
  <c r="DR93" i="7"/>
  <c r="DQ93" i="7"/>
  <c r="DP93" i="7"/>
  <c r="DO93" i="7"/>
  <c r="DN93" i="7"/>
  <c r="DM93" i="7"/>
  <c r="DL93" i="7"/>
  <c r="DK93" i="7"/>
  <c r="DJ93" i="7"/>
  <c r="DI93" i="7"/>
  <c r="DH93" i="7"/>
  <c r="DG93" i="7"/>
  <c r="DF93" i="7"/>
  <c r="DE93" i="7"/>
  <c r="DD93" i="7"/>
  <c r="DC93" i="7"/>
  <c r="DB93" i="7"/>
  <c r="DA93" i="7"/>
  <c r="CZ93" i="7"/>
  <c r="CY93" i="7"/>
  <c r="CX93" i="7"/>
  <c r="CW93" i="7"/>
  <c r="CV93" i="7"/>
  <c r="CU93" i="7"/>
  <c r="CT93" i="7"/>
  <c r="CS93" i="7"/>
  <c r="CR93" i="7"/>
  <c r="CQ93" i="7"/>
  <c r="CP93" i="7"/>
  <c r="CO93" i="7"/>
  <c r="CN93" i="7"/>
  <c r="CM93" i="7"/>
  <c r="CL93" i="7"/>
  <c r="BS93" i="7"/>
  <c r="BU93" i="7" s="1"/>
  <c r="BK93" i="7"/>
  <c r="BM93" i="7" s="1"/>
  <c r="BO93" i="7" s="1"/>
  <c r="BX93" i="7" s="1"/>
  <c r="AO93" i="7"/>
  <c r="AN93" i="7"/>
  <c r="AJ93" i="7"/>
  <c r="Z93" i="7"/>
  <c r="R93" i="7"/>
  <c r="FI92" i="7"/>
  <c r="FG92" i="7"/>
  <c r="FF92" i="7"/>
  <c r="FD92" i="7"/>
  <c r="EX92" i="7"/>
  <c r="EW92" i="7"/>
  <c r="EV92" i="7"/>
  <c r="EK92" i="7"/>
  <c r="EJ92" i="7"/>
  <c r="EI92" i="7"/>
  <c r="EH92" i="7"/>
  <c r="EG92" i="7"/>
  <c r="EF92" i="7"/>
  <c r="EE92" i="7"/>
  <c r="ED92" i="7"/>
  <c r="EC92" i="7"/>
  <c r="EB92" i="7"/>
  <c r="EA92" i="7"/>
  <c r="DZ92" i="7"/>
  <c r="DY92" i="7"/>
  <c r="DX92" i="7"/>
  <c r="DW92" i="7"/>
  <c r="DV92" i="7"/>
  <c r="DU92" i="7"/>
  <c r="DT92" i="7"/>
  <c r="DS92" i="7"/>
  <c r="DR92" i="7"/>
  <c r="DQ92" i="7"/>
  <c r="DP92" i="7"/>
  <c r="DO92" i="7"/>
  <c r="DN92" i="7"/>
  <c r="DM92" i="7"/>
  <c r="DL92" i="7"/>
  <c r="DK92" i="7"/>
  <c r="DJ92" i="7"/>
  <c r="DI92" i="7"/>
  <c r="DH92" i="7"/>
  <c r="DG92" i="7"/>
  <c r="DF92" i="7"/>
  <c r="DE92" i="7"/>
  <c r="DD92" i="7"/>
  <c r="DC92" i="7"/>
  <c r="DB92" i="7"/>
  <c r="DA92" i="7"/>
  <c r="CZ92" i="7"/>
  <c r="CY92" i="7"/>
  <c r="CX92" i="7"/>
  <c r="CW92" i="7"/>
  <c r="CV92" i="7"/>
  <c r="CU92" i="7"/>
  <c r="CT92" i="7"/>
  <c r="CS92" i="7"/>
  <c r="CR92" i="7"/>
  <c r="CQ92" i="7"/>
  <c r="CP92" i="7"/>
  <c r="CO92" i="7"/>
  <c r="CN92" i="7"/>
  <c r="CM92" i="7"/>
  <c r="CL92" i="7"/>
  <c r="BS92" i="7"/>
  <c r="BU92" i="7" s="1"/>
  <c r="BK92" i="7"/>
  <c r="BM92" i="7" s="1"/>
  <c r="BO92" i="7" s="1"/>
  <c r="AO92" i="7"/>
  <c r="AN92" i="7"/>
  <c r="FH92" i="7" s="1"/>
  <c r="AJ92" i="7"/>
  <c r="Z92" i="7"/>
  <c r="R92" i="7"/>
  <c r="FI91" i="7"/>
  <c r="FG91" i="7"/>
  <c r="FF91" i="7"/>
  <c r="FD91" i="7"/>
  <c r="EX91" i="7"/>
  <c r="EW91" i="7"/>
  <c r="EV91" i="7"/>
  <c r="EK91" i="7"/>
  <c r="EJ91" i="7"/>
  <c r="EI91" i="7"/>
  <c r="EH91" i="7"/>
  <c r="EG91" i="7"/>
  <c r="EF91" i="7"/>
  <c r="EE91" i="7"/>
  <c r="ED91" i="7"/>
  <c r="EC91" i="7"/>
  <c r="EB91" i="7"/>
  <c r="EA91" i="7"/>
  <c r="DZ91" i="7"/>
  <c r="DY91" i="7"/>
  <c r="DX91" i="7"/>
  <c r="DW91" i="7"/>
  <c r="DV91" i="7"/>
  <c r="DU91" i="7"/>
  <c r="DT91" i="7"/>
  <c r="DS91" i="7"/>
  <c r="DR91" i="7"/>
  <c r="DQ91" i="7"/>
  <c r="DP91" i="7"/>
  <c r="DO91" i="7"/>
  <c r="DN91" i="7"/>
  <c r="DM91" i="7"/>
  <c r="DL91" i="7"/>
  <c r="DK91" i="7"/>
  <c r="DJ91" i="7"/>
  <c r="DI91" i="7"/>
  <c r="DH91" i="7"/>
  <c r="DG91" i="7"/>
  <c r="DF91" i="7"/>
  <c r="DE91" i="7"/>
  <c r="DD91" i="7"/>
  <c r="DC91" i="7"/>
  <c r="DB91" i="7"/>
  <c r="DA91" i="7"/>
  <c r="CZ91" i="7"/>
  <c r="CY91" i="7"/>
  <c r="CX91" i="7"/>
  <c r="CW91" i="7"/>
  <c r="CV91" i="7"/>
  <c r="CU91" i="7"/>
  <c r="CT91" i="7"/>
  <c r="CS91" i="7"/>
  <c r="CR91" i="7"/>
  <c r="CQ91" i="7"/>
  <c r="CP91" i="7"/>
  <c r="CO91" i="7"/>
  <c r="CN91" i="7"/>
  <c r="CM91" i="7"/>
  <c r="CL91" i="7"/>
  <c r="BS91" i="7"/>
  <c r="BU91" i="7" s="1"/>
  <c r="BK91" i="7"/>
  <c r="BM91" i="7" s="1"/>
  <c r="BO91" i="7" s="1"/>
  <c r="BX91" i="7" s="1"/>
  <c r="AO91" i="7"/>
  <c r="FE91" i="7" s="1"/>
  <c r="AN91" i="7"/>
  <c r="AJ91" i="7"/>
  <c r="Z91" i="7"/>
  <c r="R91" i="7"/>
  <c r="FI90" i="7"/>
  <c r="FG90" i="7"/>
  <c r="FF90" i="7"/>
  <c r="FD90" i="7"/>
  <c r="EX90" i="7"/>
  <c r="EW90" i="7"/>
  <c r="EV90" i="7"/>
  <c r="EK90" i="7"/>
  <c r="EJ90" i="7"/>
  <c r="EI90" i="7"/>
  <c r="EH90" i="7"/>
  <c r="EG90" i="7"/>
  <c r="EF90" i="7"/>
  <c r="EE90" i="7"/>
  <c r="ED90" i="7"/>
  <c r="EC90" i="7"/>
  <c r="EB90" i="7"/>
  <c r="EA90" i="7"/>
  <c r="DZ90" i="7"/>
  <c r="DY90" i="7"/>
  <c r="DX90" i="7"/>
  <c r="DW90" i="7"/>
  <c r="DV90" i="7"/>
  <c r="DU90" i="7"/>
  <c r="DT90" i="7"/>
  <c r="DS90" i="7"/>
  <c r="DR90" i="7"/>
  <c r="DQ90" i="7"/>
  <c r="DP90" i="7"/>
  <c r="DO90" i="7"/>
  <c r="DN90" i="7"/>
  <c r="DM90" i="7"/>
  <c r="DL90" i="7"/>
  <c r="DK90" i="7"/>
  <c r="DJ90" i="7"/>
  <c r="DI90" i="7"/>
  <c r="DH90" i="7"/>
  <c r="DG90" i="7"/>
  <c r="DF90" i="7"/>
  <c r="DE90" i="7"/>
  <c r="DD90" i="7"/>
  <c r="DC90" i="7"/>
  <c r="DB90" i="7"/>
  <c r="DA90" i="7"/>
  <c r="CZ90" i="7"/>
  <c r="CY90" i="7"/>
  <c r="CX90" i="7"/>
  <c r="CW90" i="7"/>
  <c r="CV90" i="7"/>
  <c r="CU90" i="7"/>
  <c r="CT90" i="7"/>
  <c r="CS90" i="7"/>
  <c r="CR90" i="7"/>
  <c r="CQ90" i="7"/>
  <c r="CP90" i="7"/>
  <c r="CO90" i="7"/>
  <c r="CN90" i="7"/>
  <c r="CM90" i="7"/>
  <c r="CL90" i="7"/>
  <c r="BS90" i="7"/>
  <c r="BU90" i="7" s="1"/>
  <c r="BK90" i="7"/>
  <c r="BM90" i="7" s="1"/>
  <c r="BO90" i="7" s="1"/>
  <c r="AO90" i="7"/>
  <c r="FE90" i="7" s="1"/>
  <c r="AN90" i="7"/>
  <c r="FH90" i="7" s="1"/>
  <c r="AJ90" i="7"/>
  <c r="Z90" i="7"/>
  <c r="R90" i="7"/>
  <c r="FI89" i="7"/>
  <c r="FG89" i="7"/>
  <c r="FF89" i="7"/>
  <c r="FD89" i="7"/>
  <c r="EX89" i="7"/>
  <c r="EW89" i="7"/>
  <c r="EV89" i="7"/>
  <c r="EK89" i="7"/>
  <c r="EJ89" i="7"/>
  <c r="EI89" i="7"/>
  <c r="EH89" i="7"/>
  <c r="EG89" i="7"/>
  <c r="EF89" i="7"/>
  <c r="EE89" i="7"/>
  <c r="ED89" i="7"/>
  <c r="EC89" i="7"/>
  <c r="EB89" i="7"/>
  <c r="EA89" i="7"/>
  <c r="DZ89" i="7"/>
  <c r="DY89" i="7"/>
  <c r="DX89" i="7"/>
  <c r="DW89" i="7"/>
  <c r="DV89" i="7"/>
  <c r="DU89" i="7"/>
  <c r="DT89" i="7"/>
  <c r="DS89" i="7"/>
  <c r="DR89" i="7"/>
  <c r="DQ89" i="7"/>
  <c r="DP89" i="7"/>
  <c r="DO89" i="7"/>
  <c r="DN89" i="7"/>
  <c r="DM89" i="7"/>
  <c r="DL89" i="7"/>
  <c r="DK89" i="7"/>
  <c r="DJ89" i="7"/>
  <c r="DI89" i="7"/>
  <c r="DH89" i="7"/>
  <c r="DG89" i="7"/>
  <c r="DF89" i="7"/>
  <c r="DE89" i="7"/>
  <c r="DD89" i="7"/>
  <c r="DC89" i="7"/>
  <c r="DB89" i="7"/>
  <c r="DA89" i="7"/>
  <c r="CZ89" i="7"/>
  <c r="CY89" i="7"/>
  <c r="CX89" i="7"/>
  <c r="CW89" i="7"/>
  <c r="CV89" i="7"/>
  <c r="CU89" i="7"/>
  <c r="CT89" i="7"/>
  <c r="CS89" i="7"/>
  <c r="CR89" i="7"/>
  <c r="CQ89" i="7"/>
  <c r="CP89" i="7"/>
  <c r="CO89" i="7"/>
  <c r="CN89" i="7"/>
  <c r="CM89" i="7"/>
  <c r="CL89" i="7"/>
  <c r="BS89" i="7"/>
  <c r="BU89" i="7" s="1"/>
  <c r="BK89" i="7"/>
  <c r="BM89" i="7" s="1"/>
  <c r="BO89" i="7" s="1"/>
  <c r="BX89" i="7" s="1"/>
  <c r="AO89" i="7"/>
  <c r="FE89" i="7" s="1"/>
  <c r="AN89" i="7"/>
  <c r="FC89" i="7" s="1"/>
  <c r="AJ89" i="7"/>
  <c r="Z89" i="7"/>
  <c r="R89" i="7"/>
  <c r="FI88" i="7"/>
  <c r="FG88" i="7"/>
  <c r="FF88" i="7"/>
  <c r="FD88" i="7"/>
  <c r="EX88" i="7"/>
  <c r="EW88" i="7"/>
  <c r="EV88" i="7"/>
  <c r="EK88" i="7"/>
  <c r="EJ88" i="7"/>
  <c r="EI88" i="7"/>
  <c r="EH88" i="7"/>
  <c r="EG88" i="7"/>
  <c r="EF88" i="7"/>
  <c r="EE88" i="7"/>
  <c r="ED88" i="7"/>
  <c r="EC88" i="7"/>
  <c r="EB88" i="7"/>
  <c r="EA88" i="7"/>
  <c r="DZ88" i="7"/>
  <c r="DY88" i="7"/>
  <c r="DX88" i="7"/>
  <c r="DW88" i="7"/>
  <c r="DV88" i="7"/>
  <c r="DU88" i="7"/>
  <c r="DT88" i="7"/>
  <c r="DS88" i="7"/>
  <c r="DR88" i="7"/>
  <c r="DQ88" i="7"/>
  <c r="DP88" i="7"/>
  <c r="DO88" i="7"/>
  <c r="DN88" i="7"/>
  <c r="DM88" i="7"/>
  <c r="DL88" i="7"/>
  <c r="DK88" i="7"/>
  <c r="DJ88" i="7"/>
  <c r="DI88" i="7"/>
  <c r="DH88" i="7"/>
  <c r="DG88" i="7"/>
  <c r="DF88" i="7"/>
  <c r="DE88" i="7"/>
  <c r="DD88" i="7"/>
  <c r="DC88" i="7"/>
  <c r="DB88" i="7"/>
  <c r="DA88" i="7"/>
  <c r="CZ88" i="7"/>
  <c r="CY88" i="7"/>
  <c r="CX88" i="7"/>
  <c r="CW88" i="7"/>
  <c r="CV88" i="7"/>
  <c r="CU88" i="7"/>
  <c r="CT88" i="7"/>
  <c r="CS88" i="7"/>
  <c r="CR88" i="7"/>
  <c r="CQ88" i="7"/>
  <c r="CP88" i="7"/>
  <c r="CO88" i="7"/>
  <c r="CN88" i="7"/>
  <c r="CM88" i="7"/>
  <c r="CL88" i="7"/>
  <c r="BS88" i="7"/>
  <c r="BU88" i="7" s="1"/>
  <c r="BK88" i="7"/>
  <c r="BM88" i="7" s="1"/>
  <c r="BO88" i="7" s="1"/>
  <c r="AO88" i="7"/>
  <c r="FE88" i="7" s="1"/>
  <c r="AN88" i="7"/>
  <c r="FH88" i="7" s="1"/>
  <c r="AJ88" i="7"/>
  <c r="Z88" i="7"/>
  <c r="R88" i="7"/>
  <c r="FI87" i="7"/>
  <c r="FG87" i="7"/>
  <c r="FF87" i="7"/>
  <c r="FD87" i="7"/>
  <c r="EX87" i="7"/>
  <c r="EW87" i="7"/>
  <c r="EV87" i="7"/>
  <c r="EK87" i="7"/>
  <c r="EJ87" i="7"/>
  <c r="EI87" i="7"/>
  <c r="EH87" i="7"/>
  <c r="EG87" i="7"/>
  <c r="EF87" i="7"/>
  <c r="EE87" i="7"/>
  <c r="ED87" i="7"/>
  <c r="EC87" i="7"/>
  <c r="EB87" i="7"/>
  <c r="EA87" i="7"/>
  <c r="DZ87" i="7"/>
  <c r="DY87" i="7"/>
  <c r="DX87" i="7"/>
  <c r="DW87" i="7"/>
  <c r="DV87" i="7"/>
  <c r="DU87" i="7"/>
  <c r="DT87" i="7"/>
  <c r="DS87" i="7"/>
  <c r="DR87" i="7"/>
  <c r="DQ87" i="7"/>
  <c r="DP87" i="7"/>
  <c r="DO87" i="7"/>
  <c r="DN87" i="7"/>
  <c r="DM87" i="7"/>
  <c r="DL87" i="7"/>
  <c r="DK87" i="7"/>
  <c r="DJ87" i="7"/>
  <c r="DI87" i="7"/>
  <c r="DH87" i="7"/>
  <c r="DG87" i="7"/>
  <c r="DF87" i="7"/>
  <c r="DE87" i="7"/>
  <c r="DD87" i="7"/>
  <c r="DC87" i="7"/>
  <c r="DB87" i="7"/>
  <c r="DA87" i="7"/>
  <c r="CZ87" i="7"/>
  <c r="CY87" i="7"/>
  <c r="CX87" i="7"/>
  <c r="CW87" i="7"/>
  <c r="CV87" i="7"/>
  <c r="CU87" i="7"/>
  <c r="CT87" i="7"/>
  <c r="CS87" i="7"/>
  <c r="CR87" i="7"/>
  <c r="CQ87" i="7"/>
  <c r="CP87" i="7"/>
  <c r="CO87" i="7"/>
  <c r="CN87" i="7"/>
  <c r="CM87" i="7"/>
  <c r="CL87" i="7"/>
  <c r="BS87" i="7"/>
  <c r="BU87" i="7" s="1"/>
  <c r="BK87" i="7"/>
  <c r="BM87" i="7" s="1"/>
  <c r="BO87" i="7" s="1"/>
  <c r="AO87" i="7"/>
  <c r="FE87" i="7" s="1"/>
  <c r="AN87" i="7"/>
  <c r="FH87" i="7" s="1"/>
  <c r="AJ87" i="7"/>
  <c r="Z87" i="7"/>
  <c r="R87" i="7"/>
  <c r="FI86" i="7"/>
  <c r="FG86" i="7"/>
  <c r="FF86" i="7"/>
  <c r="FD86" i="7"/>
  <c r="EX86" i="7"/>
  <c r="EW86" i="7"/>
  <c r="EV86" i="7"/>
  <c r="EK86" i="7"/>
  <c r="EJ86" i="7"/>
  <c r="EI86" i="7"/>
  <c r="EH86" i="7"/>
  <c r="EG86" i="7"/>
  <c r="EF86" i="7"/>
  <c r="EE86" i="7"/>
  <c r="ED86" i="7"/>
  <c r="EC86" i="7"/>
  <c r="EB86" i="7"/>
  <c r="EA86" i="7"/>
  <c r="DZ86" i="7"/>
  <c r="DY86" i="7"/>
  <c r="DX86" i="7"/>
  <c r="DW86" i="7"/>
  <c r="DV86" i="7"/>
  <c r="DU86" i="7"/>
  <c r="DT86" i="7"/>
  <c r="DS86" i="7"/>
  <c r="DR86" i="7"/>
  <c r="DQ86" i="7"/>
  <c r="DP86" i="7"/>
  <c r="DO86" i="7"/>
  <c r="DN86" i="7"/>
  <c r="DM86" i="7"/>
  <c r="DL86" i="7"/>
  <c r="DK86" i="7"/>
  <c r="DJ86" i="7"/>
  <c r="DI86" i="7"/>
  <c r="DH86" i="7"/>
  <c r="DG86" i="7"/>
  <c r="DF86" i="7"/>
  <c r="DE86" i="7"/>
  <c r="DD86" i="7"/>
  <c r="DC86" i="7"/>
  <c r="DB86" i="7"/>
  <c r="DA86" i="7"/>
  <c r="CZ86" i="7"/>
  <c r="CY86" i="7"/>
  <c r="CX86" i="7"/>
  <c r="CW86" i="7"/>
  <c r="CV86" i="7"/>
  <c r="CU86" i="7"/>
  <c r="CT86" i="7"/>
  <c r="CS86" i="7"/>
  <c r="CR86" i="7"/>
  <c r="CQ86" i="7"/>
  <c r="CP86" i="7"/>
  <c r="CO86" i="7"/>
  <c r="CN86" i="7"/>
  <c r="CM86" i="7"/>
  <c r="CL86" i="7"/>
  <c r="BS86" i="7"/>
  <c r="BU86" i="7" s="1"/>
  <c r="BK86" i="7"/>
  <c r="BM86" i="7" s="1"/>
  <c r="BO86" i="7" s="1"/>
  <c r="AO86" i="7"/>
  <c r="AN86" i="7"/>
  <c r="AJ86" i="7"/>
  <c r="Z86" i="7"/>
  <c r="R86" i="7"/>
  <c r="FI85" i="7"/>
  <c r="FG85" i="7"/>
  <c r="FF85" i="7"/>
  <c r="FD85" i="7"/>
  <c r="EX85" i="7"/>
  <c r="EW85" i="7"/>
  <c r="EV85" i="7"/>
  <c r="EK85" i="7"/>
  <c r="EJ85" i="7"/>
  <c r="EI85" i="7"/>
  <c r="EH85" i="7"/>
  <c r="EG85" i="7"/>
  <c r="EF85" i="7"/>
  <c r="EE85" i="7"/>
  <c r="ED85" i="7"/>
  <c r="EC85" i="7"/>
  <c r="EB85" i="7"/>
  <c r="EA85" i="7"/>
  <c r="DZ85" i="7"/>
  <c r="DY85" i="7"/>
  <c r="DX85" i="7"/>
  <c r="DW85" i="7"/>
  <c r="DV85" i="7"/>
  <c r="DU85" i="7"/>
  <c r="DT85" i="7"/>
  <c r="DS85" i="7"/>
  <c r="DR85" i="7"/>
  <c r="DQ85" i="7"/>
  <c r="DP85" i="7"/>
  <c r="DO85" i="7"/>
  <c r="DN85" i="7"/>
  <c r="DM85" i="7"/>
  <c r="DL85" i="7"/>
  <c r="DK85" i="7"/>
  <c r="DJ85" i="7"/>
  <c r="DI85" i="7"/>
  <c r="DH85" i="7"/>
  <c r="DG85" i="7"/>
  <c r="DF85" i="7"/>
  <c r="DE85" i="7"/>
  <c r="DD85" i="7"/>
  <c r="DC85" i="7"/>
  <c r="DB85" i="7"/>
  <c r="DA85" i="7"/>
  <c r="CZ85" i="7"/>
  <c r="CY85" i="7"/>
  <c r="CX85" i="7"/>
  <c r="CW85" i="7"/>
  <c r="CV85" i="7"/>
  <c r="CU85" i="7"/>
  <c r="CT85" i="7"/>
  <c r="CS85" i="7"/>
  <c r="CR85" i="7"/>
  <c r="CQ85" i="7"/>
  <c r="CP85" i="7"/>
  <c r="CO85" i="7"/>
  <c r="CN85" i="7"/>
  <c r="CM85" i="7"/>
  <c r="CL85" i="7"/>
  <c r="BS85" i="7"/>
  <c r="BU85" i="7" s="1"/>
  <c r="BK85" i="7"/>
  <c r="BM85" i="7" s="1"/>
  <c r="BO85" i="7" s="1"/>
  <c r="AO85" i="7"/>
  <c r="FE85" i="7" s="1"/>
  <c r="AN85" i="7"/>
  <c r="AJ85" i="7"/>
  <c r="Z85" i="7"/>
  <c r="R85" i="7"/>
  <c r="FI84" i="7"/>
  <c r="FG84" i="7"/>
  <c r="FF84" i="7"/>
  <c r="FD84" i="7"/>
  <c r="EX84" i="7"/>
  <c r="EW84" i="7"/>
  <c r="EV84" i="7"/>
  <c r="EK84" i="7"/>
  <c r="EJ84" i="7"/>
  <c r="EI84" i="7"/>
  <c r="EH84" i="7"/>
  <c r="EG84" i="7"/>
  <c r="EF84" i="7"/>
  <c r="EE84" i="7"/>
  <c r="ED84" i="7"/>
  <c r="EC84" i="7"/>
  <c r="EB84" i="7"/>
  <c r="EA84" i="7"/>
  <c r="DZ84" i="7"/>
  <c r="DY84" i="7"/>
  <c r="DX84" i="7"/>
  <c r="DW84" i="7"/>
  <c r="DV84" i="7"/>
  <c r="DU84" i="7"/>
  <c r="DT84" i="7"/>
  <c r="DS84" i="7"/>
  <c r="DR84" i="7"/>
  <c r="DQ84" i="7"/>
  <c r="DP84" i="7"/>
  <c r="DO84" i="7"/>
  <c r="DN84" i="7"/>
  <c r="DM84" i="7"/>
  <c r="DL84" i="7"/>
  <c r="DK84" i="7"/>
  <c r="DJ84" i="7"/>
  <c r="DI84" i="7"/>
  <c r="DH84" i="7"/>
  <c r="DG84" i="7"/>
  <c r="DF84" i="7"/>
  <c r="DE84" i="7"/>
  <c r="DD84" i="7"/>
  <c r="DC84" i="7"/>
  <c r="DB84" i="7"/>
  <c r="DA84" i="7"/>
  <c r="CZ84" i="7"/>
  <c r="CY84" i="7"/>
  <c r="CX84" i="7"/>
  <c r="CW84" i="7"/>
  <c r="CV84" i="7"/>
  <c r="CU84" i="7"/>
  <c r="CT84" i="7"/>
  <c r="CS84" i="7"/>
  <c r="CR84" i="7"/>
  <c r="CQ84" i="7"/>
  <c r="CP84" i="7"/>
  <c r="CO84" i="7"/>
  <c r="CN84" i="7"/>
  <c r="CM84" i="7"/>
  <c r="CL84" i="7"/>
  <c r="BS84" i="7"/>
  <c r="BU84" i="7" s="1"/>
  <c r="BK84" i="7"/>
  <c r="BM84" i="7" s="1"/>
  <c r="BO84" i="7" s="1"/>
  <c r="BX84" i="7" s="1"/>
  <c r="AO84" i="7"/>
  <c r="FE84" i="7" s="1"/>
  <c r="AN84" i="7"/>
  <c r="AJ84" i="7"/>
  <c r="Z84" i="7"/>
  <c r="R84" i="7"/>
  <c r="FI83" i="7"/>
  <c r="FG83" i="7"/>
  <c r="FF83" i="7"/>
  <c r="FD83" i="7"/>
  <c r="EX83" i="7"/>
  <c r="EW83" i="7"/>
  <c r="EV83" i="7"/>
  <c r="EK83" i="7"/>
  <c r="EJ83" i="7"/>
  <c r="EI83" i="7"/>
  <c r="EH83" i="7"/>
  <c r="EG83" i="7"/>
  <c r="EF83" i="7"/>
  <c r="EE83" i="7"/>
  <c r="ED83" i="7"/>
  <c r="EC83" i="7"/>
  <c r="EB83" i="7"/>
  <c r="EA83" i="7"/>
  <c r="DZ83" i="7"/>
  <c r="DY83" i="7"/>
  <c r="DX83" i="7"/>
  <c r="DW83" i="7"/>
  <c r="DV83" i="7"/>
  <c r="DU83" i="7"/>
  <c r="DT83" i="7"/>
  <c r="DS83" i="7"/>
  <c r="DR83" i="7"/>
  <c r="DQ83" i="7"/>
  <c r="DP83" i="7"/>
  <c r="DO83" i="7"/>
  <c r="DN83" i="7"/>
  <c r="DM83" i="7"/>
  <c r="DL83" i="7"/>
  <c r="DK83" i="7"/>
  <c r="DJ83" i="7"/>
  <c r="DI83" i="7"/>
  <c r="DH83" i="7"/>
  <c r="DG83" i="7"/>
  <c r="DF83" i="7"/>
  <c r="DE83" i="7"/>
  <c r="DD83" i="7"/>
  <c r="DC83" i="7"/>
  <c r="DB83" i="7"/>
  <c r="DA83" i="7"/>
  <c r="CZ83" i="7"/>
  <c r="CY83" i="7"/>
  <c r="CX83" i="7"/>
  <c r="CW83" i="7"/>
  <c r="CV83" i="7"/>
  <c r="CU83" i="7"/>
  <c r="CT83" i="7"/>
  <c r="CS83" i="7"/>
  <c r="CR83" i="7"/>
  <c r="CQ83" i="7"/>
  <c r="CP83" i="7"/>
  <c r="CO83" i="7"/>
  <c r="CN83" i="7"/>
  <c r="CM83" i="7"/>
  <c r="CL83" i="7"/>
  <c r="BS83" i="7"/>
  <c r="BU83" i="7" s="1"/>
  <c r="BK83" i="7"/>
  <c r="BM83" i="7" s="1"/>
  <c r="BO83" i="7" s="1"/>
  <c r="AO83" i="7"/>
  <c r="FE83" i="7" s="1"/>
  <c r="AN83" i="7"/>
  <c r="FH83" i="7" s="1"/>
  <c r="AJ83" i="7"/>
  <c r="Z83" i="7"/>
  <c r="R83" i="7"/>
  <c r="FI82" i="7"/>
  <c r="FG82" i="7"/>
  <c r="FF82" i="7"/>
  <c r="FD82" i="7"/>
  <c r="EX82" i="7"/>
  <c r="EW82" i="7"/>
  <c r="EV82" i="7"/>
  <c r="EK82" i="7"/>
  <c r="EJ82" i="7"/>
  <c r="EI82" i="7"/>
  <c r="EH82" i="7"/>
  <c r="EG82" i="7"/>
  <c r="EF82" i="7"/>
  <c r="EE82" i="7"/>
  <c r="ED82" i="7"/>
  <c r="EC82" i="7"/>
  <c r="EB82" i="7"/>
  <c r="EA82" i="7"/>
  <c r="DZ82" i="7"/>
  <c r="DY82" i="7"/>
  <c r="DX82" i="7"/>
  <c r="DW82" i="7"/>
  <c r="DV82" i="7"/>
  <c r="DU82" i="7"/>
  <c r="DT82" i="7"/>
  <c r="DS82" i="7"/>
  <c r="DR82" i="7"/>
  <c r="DQ82" i="7"/>
  <c r="DP82" i="7"/>
  <c r="DO82" i="7"/>
  <c r="DN82" i="7"/>
  <c r="DM82" i="7"/>
  <c r="DL82" i="7"/>
  <c r="DK82" i="7"/>
  <c r="DJ82" i="7"/>
  <c r="DI82" i="7"/>
  <c r="DH82" i="7"/>
  <c r="DG82" i="7"/>
  <c r="DF82" i="7"/>
  <c r="DE82" i="7"/>
  <c r="DD82" i="7"/>
  <c r="DC82" i="7"/>
  <c r="DB82" i="7"/>
  <c r="DA82" i="7"/>
  <c r="CZ82" i="7"/>
  <c r="CY82" i="7"/>
  <c r="CX82" i="7"/>
  <c r="CW82" i="7"/>
  <c r="CV82" i="7"/>
  <c r="CU82" i="7"/>
  <c r="CT82" i="7"/>
  <c r="CS82" i="7"/>
  <c r="CR82" i="7"/>
  <c r="CQ82" i="7"/>
  <c r="CP82" i="7"/>
  <c r="CO82" i="7"/>
  <c r="CN82" i="7"/>
  <c r="CM82" i="7"/>
  <c r="CL82" i="7"/>
  <c r="BS82" i="7"/>
  <c r="BU82" i="7" s="1"/>
  <c r="BK82" i="7"/>
  <c r="BM82" i="7" s="1"/>
  <c r="BO82" i="7" s="1"/>
  <c r="AO82" i="7"/>
  <c r="AN82" i="7"/>
  <c r="EZ82" i="7" s="1"/>
  <c r="AJ82" i="7"/>
  <c r="Z82" i="7"/>
  <c r="R82" i="7"/>
  <c r="FI81" i="7"/>
  <c r="FG81" i="7"/>
  <c r="FF81" i="7"/>
  <c r="FD81" i="7"/>
  <c r="EX81" i="7"/>
  <c r="EW81" i="7"/>
  <c r="EV81" i="7"/>
  <c r="EK81" i="7"/>
  <c r="EJ81" i="7"/>
  <c r="EI81" i="7"/>
  <c r="EH81" i="7"/>
  <c r="EG81" i="7"/>
  <c r="EF81" i="7"/>
  <c r="EE81" i="7"/>
  <c r="ED81" i="7"/>
  <c r="EC81" i="7"/>
  <c r="EB81" i="7"/>
  <c r="EA81" i="7"/>
  <c r="DZ81" i="7"/>
  <c r="DY81" i="7"/>
  <c r="DX81" i="7"/>
  <c r="DW81" i="7"/>
  <c r="DV81" i="7"/>
  <c r="DU81" i="7"/>
  <c r="DT81" i="7"/>
  <c r="DS81" i="7"/>
  <c r="DR81" i="7"/>
  <c r="DQ81" i="7"/>
  <c r="DP81" i="7"/>
  <c r="DO81" i="7"/>
  <c r="DN81" i="7"/>
  <c r="DM81" i="7"/>
  <c r="DL81" i="7"/>
  <c r="DK81" i="7"/>
  <c r="DJ81" i="7"/>
  <c r="DI81" i="7"/>
  <c r="DH81" i="7"/>
  <c r="DG81" i="7"/>
  <c r="DF81" i="7"/>
  <c r="DE81" i="7"/>
  <c r="DD81" i="7"/>
  <c r="DC81" i="7"/>
  <c r="DB81" i="7"/>
  <c r="DA81" i="7"/>
  <c r="CZ81" i="7"/>
  <c r="CY81" i="7"/>
  <c r="CX81" i="7"/>
  <c r="CW81" i="7"/>
  <c r="CV81" i="7"/>
  <c r="CU81" i="7"/>
  <c r="CT81" i="7"/>
  <c r="CS81" i="7"/>
  <c r="CR81" i="7"/>
  <c r="CQ81" i="7"/>
  <c r="CP81" i="7"/>
  <c r="CO81" i="7"/>
  <c r="CN81" i="7"/>
  <c r="CM81" i="7"/>
  <c r="CL81" i="7"/>
  <c r="BS81" i="7"/>
  <c r="BU81" i="7" s="1"/>
  <c r="BK81" i="7"/>
  <c r="BM81" i="7" s="1"/>
  <c r="BO81" i="7" s="1"/>
  <c r="BX81" i="7" s="1"/>
  <c r="AO81" i="7"/>
  <c r="FA81" i="7" s="1"/>
  <c r="AN81" i="7"/>
  <c r="AJ81" i="7"/>
  <c r="Z81" i="7"/>
  <c r="R81" i="7"/>
  <c r="FI80" i="7"/>
  <c r="FG80" i="7"/>
  <c r="FF80" i="7"/>
  <c r="FD80" i="7"/>
  <c r="EX80" i="7"/>
  <c r="EW80" i="7"/>
  <c r="EV80" i="7"/>
  <c r="EK80" i="7"/>
  <c r="EJ80" i="7"/>
  <c r="EI80" i="7"/>
  <c r="EH80" i="7"/>
  <c r="EG80" i="7"/>
  <c r="EF80" i="7"/>
  <c r="EE80" i="7"/>
  <c r="ED80" i="7"/>
  <c r="EC80" i="7"/>
  <c r="EB80" i="7"/>
  <c r="EA80" i="7"/>
  <c r="DZ80" i="7"/>
  <c r="DY80" i="7"/>
  <c r="DX80" i="7"/>
  <c r="DW80" i="7"/>
  <c r="DV80" i="7"/>
  <c r="DU80" i="7"/>
  <c r="DT80" i="7"/>
  <c r="DS80" i="7"/>
  <c r="DR80" i="7"/>
  <c r="DQ80" i="7"/>
  <c r="DP80" i="7"/>
  <c r="DO80" i="7"/>
  <c r="DN80" i="7"/>
  <c r="DM80" i="7"/>
  <c r="DL80" i="7"/>
  <c r="DK80" i="7"/>
  <c r="DJ80" i="7"/>
  <c r="DI80" i="7"/>
  <c r="DH80" i="7"/>
  <c r="DG80" i="7"/>
  <c r="DF80" i="7"/>
  <c r="DE80" i="7"/>
  <c r="DD80" i="7"/>
  <c r="DC80" i="7"/>
  <c r="DB80" i="7"/>
  <c r="DA80" i="7"/>
  <c r="CZ80" i="7"/>
  <c r="CY80" i="7"/>
  <c r="CX80" i="7"/>
  <c r="CW80" i="7"/>
  <c r="CV80" i="7"/>
  <c r="CU80" i="7"/>
  <c r="CT80" i="7"/>
  <c r="CS80" i="7"/>
  <c r="CR80" i="7"/>
  <c r="CQ80" i="7"/>
  <c r="CP80" i="7"/>
  <c r="CO80" i="7"/>
  <c r="CN80" i="7"/>
  <c r="CM80" i="7"/>
  <c r="CL80" i="7"/>
  <c r="BS80" i="7"/>
  <c r="BU80" i="7" s="1"/>
  <c r="BK80" i="7"/>
  <c r="BM80" i="7" s="1"/>
  <c r="BO80" i="7" s="1"/>
  <c r="AO80" i="7"/>
  <c r="FE80" i="7" s="1"/>
  <c r="AN80" i="7"/>
  <c r="AJ80" i="7"/>
  <c r="Z80" i="7"/>
  <c r="R80" i="7"/>
  <c r="FI79" i="7"/>
  <c r="FG79" i="7"/>
  <c r="FF79" i="7"/>
  <c r="FD79" i="7"/>
  <c r="EX79" i="7"/>
  <c r="EW79" i="7"/>
  <c r="EV79" i="7"/>
  <c r="EK79" i="7"/>
  <c r="EJ79" i="7"/>
  <c r="EI79" i="7"/>
  <c r="EH79" i="7"/>
  <c r="EG79" i="7"/>
  <c r="EF79" i="7"/>
  <c r="EE79" i="7"/>
  <c r="ED79" i="7"/>
  <c r="EC79" i="7"/>
  <c r="EB79" i="7"/>
  <c r="EA79" i="7"/>
  <c r="DZ79" i="7"/>
  <c r="DY79" i="7"/>
  <c r="DX79" i="7"/>
  <c r="DW79" i="7"/>
  <c r="DV79" i="7"/>
  <c r="DU79" i="7"/>
  <c r="DT79" i="7"/>
  <c r="DS79" i="7"/>
  <c r="DR79" i="7"/>
  <c r="DQ79" i="7"/>
  <c r="DP79" i="7"/>
  <c r="DO79" i="7"/>
  <c r="DN79" i="7"/>
  <c r="DM79" i="7"/>
  <c r="DL79" i="7"/>
  <c r="DK79" i="7"/>
  <c r="DJ79" i="7"/>
  <c r="DI79" i="7"/>
  <c r="DH79" i="7"/>
  <c r="DG79" i="7"/>
  <c r="DF79" i="7"/>
  <c r="DE79" i="7"/>
  <c r="DD79" i="7"/>
  <c r="DC79" i="7"/>
  <c r="DB79" i="7"/>
  <c r="DA79" i="7"/>
  <c r="CZ79" i="7"/>
  <c r="CY79" i="7"/>
  <c r="CX79" i="7"/>
  <c r="CW79" i="7"/>
  <c r="CV79" i="7"/>
  <c r="CU79" i="7"/>
  <c r="CT79" i="7"/>
  <c r="CS79" i="7"/>
  <c r="CR79" i="7"/>
  <c r="CQ79" i="7"/>
  <c r="CP79" i="7"/>
  <c r="CO79" i="7"/>
  <c r="CN79" i="7"/>
  <c r="CM79" i="7"/>
  <c r="CL79" i="7"/>
  <c r="BS79" i="7"/>
  <c r="BU79" i="7" s="1"/>
  <c r="BK79" i="7"/>
  <c r="BM79" i="7" s="1"/>
  <c r="BO79" i="7" s="1"/>
  <c r="AO79" i="7"/>
  <c r="AN79" i="7"/>
  <c r="FH79" i="7" s="1"/>
  <c r="AJ79" i="7"/>
  <c r="Z79" i="7"/>
  <c r="R79" i="7"/>
  <c r="FI78" i="7"/>
  <c r="FG78" i="7"/>
  <c r="FF78" i="7"/>
  <c r="FD78" i="7"/>
  <c r="EX78" i="7"/>
  <c r="EW78" i="7"/>
  <c r="EV78" i="7"/>
  <c r="EK78" i="7"/>
  <c r="EJ78" i="7"/>
  <c r="EI78" i="7"/>
  <c r="EH78" i="7"/>
  <c r="EG78" i="7"/>
  <c r="EF78" i="7"/>
  <c r="EE78" i="7"/>
  <c r="ED78" i="7"/>
  <c r="EC78" i="7"/>
  <c r="EB78" i="7"/>
  <c r="EA78" i="7"/>
  <c r="DZ78" i="7"/>
  <c r="DY78" i="7"/>
  <c r="DX78" i="7"/>
  <c r="DW78" i="7"/>
  <c r="DV78" i="7"/>
  <c r="DU78" i="7"/>
  <c r="DT78" i="7"/>
  <c r="DS78" i="7"/>
  <c r="DR78" i="7"/>
  <c r="DQ78" i="7"/>
  <c r="DP78" i="7"/>
  <c r="DO78" i="7"/>
  <c r="DN78" i="7"/>
  <c r="DM78" i="7"/>
  <c r="DL78" i="7"/>
  <c r="DK78" i="7"/>
  <c r="DJ78" i="7"/>
  <c r="DI78" i="7"/>
  <c r="DH78" i="7"/>
  <c r="DG78" i="7"/>
  <c r="DF78" i="7"/>
  <c r="DE78" i="7"/>
  <c r="DD78" i="7"/>
  <c r="DC78" i="7"/>
  <c r="DB78" i="7"/>
  <c r="DA78" i="7"/>
  <c r="CZ78" i="7"/>
  <c r="CY78" i="7"/>
  <c r="CX78" i="7"/>
  <c r="CW78" i="7"/>
  <c r="CV78" i="7"/>
  <c r="CU78" i="7"/>
  <c r="CT78" i="7"/>
  <c r="CS78" i="7"/>
  <c r="CR78" i="7"/>
  <c r="CQ78" i="7"/>
  <c r="CP78" i="7"/>
  <c r="CO78" i="7"/>
  <c r="CN78" i="7"/>
  <c r="CM78" i="7"/>
  <c r="CL78" i="7"/>
  <c r="BS78" i="7"/>
  <c r="BU78" i="7" s="1"/>
  <c r="BK78" i="7"/>
  <c r="BM78" i="7" s="1"/>
  <c r="BO78" i="7" s="1"/>
  <c r="AO78" i="7"/>
  <c r="AN78" i="7"/>
  <c r="AJ78" i="7"/>
  <c r="Z78" i="7"/>
  <c r="R78" i="7"/>
  <c r="FI77" i="7"/>
  <c r="FG77" i="7"/>
  <c r="FF77" i="7"/>
  <c r="FD77" i="7"/>
  <c r="EX77" i="7"/>
  <c r="EW77" i="7"/>
  <c r="EV77" i="7"/>
  <c r="EK77" i="7"/>
  <c r="EJ77" i="7"/>
  <c r="EI77" i="7"/>
  <c r="EH77" i="7"/>
  <c r="EG77" i="7"/>
  <c r="EF77" i="7"/>
  <c r="EE77" i="7"/>
  <c r="ED77" i="7"/>
  <c r="EC77" i="7"/>
  <c r="EB77" i="7"/>
  <c r="EA77" i="7"/>
  <c r="DZ77" i="7"/>
  <c r="DY77" i="7"/>
  <c r="DX77" i="7"/>
  <c r="DW77" i="7"/>
  <c r="DV77" i="7"/>
  <c r="DU77" i="7"/>
  <c r="DT77" i="7"/>
  <c r="DS77" i="7"/>
  <c r="DR77" i="7"/>
  <c r="DQ77" i="7"/>
  <c r="DP77" i="7"/>
  <c r="DO77" i="7"/>
  <c r="DN77" i="7"/>
  <c r="DM77" i="7"/>
  <c r="DL77" i="7"/>
  <c r="DK77" i="7"/>
  <c r="DJ77" i="7"/>
  <c r="DI77" i="7"/>
  <c r="DH77" i="7"/>
  <c r="DG77" i="7"/>
  <c r="DF77" i="7"/>
  <c r="DE77" i="7"/>
  <c r="DD77" i="7"/>
  <c r="DC77" i="7"/>
  <c r="DB77" i="7"/>
  <c r="DA77" i="7"/>
  <c r="CZ77" i="7"/>
  <c r="CY77" i="7"/>
  <c r="CX77" i="7"/>
  <c r="CW77" i="7"/>
  <c r="CV77" i="7"/>
  <c r="CU77" i="7"/>
  <c r="CT77" i="7"/>
  <c r="CS77" i="7"/>
  <c r="CR77" i="7"/>
  <c r="CQ77" i="7"/>
  <c r="CP77" i="7"/>
  <c r="CO77" i="7"/>
  <c r="CN77" i="7"/>
  <c r="CM77" i="7"/>
  <c r="CL77" i="7"/>
  <c r="BS77" i="7"/>
  <c r="BU77" i="7" s="1"/>
  <c r="BK77" i="7"/>
  <c r="BM77" i="7" s="1"/>
  <c r="BO77" i="7" s="1"/>
  <c r="AO77" i="7"/>
  <c r="FA77" i="7" s="1"/>
  <c r="AN77" i="7"/>
  <c r="AJ77" i="7"/>
  <c r="Z77" i="7"/>
  <c r="R77" i="7"/>
  <c r="FI76" i="7"/>
  <c r="FG76" i="7"/>
  <c r="FF76" i="7"/>
  <c r="FD76" i="7"/>
  <c r="EX76" i="7"/>
  <c r="EW76" i="7"/>
  <c r="EV76" i="7"/>
  <c r="EK76" i="7"/>
  <c r="EJ76" i="7"/>
  <c r="EI76" i="7"/>
  <c r="EH76" i="7"/>
  <c r="EG76" i="7"/>
  <c r="EF76" i="7"/>
  <c r="EE76" i="7"/>
  <c r="ED76" i="7"/>
  <c r="EC76" i="7"/>
  <c r="EB76" i="7"/>
  <c r="EA76" i="7"/>
  <c r="DZ76" i="7"/>
  <c r="DY76" i="7"/>
  <c r="DX76" i="7"/>
  <c r="DW76" i="7"/>
  <c r="DV76" i="7"/>
  <c r="DU76" i="7"/>
  <c r="DT76" i="7"/>
  <c r="DS76" i="7"/>
  <c r="DR76" i="7"/>
  <c r="DQ76" i="7"/>
  <c r="DP76" i="7"/>
  <c r="DO76" i="7"/>
  <c r="DN76" i="7"/>
  <c r="DM76" i="7"/>
  <c r="DL76" i="7"/>
  <c r="DK76" i="7"/>
  <c r="DJ76" i="7"/>
  <c r="DI76" i="7"/>
  <c r="DH76" i="7"/>
  <c r="DG76" i="7"/>
  <c r="DF76" i="7"/>
  <c r="DE76" i="7"/>
  <c r="DD76" i="7"/>
  <c r="DC76" i="7"/>
  <c r="DB76" i="7"/>
  <c r="DA76" i="7"/>
  <c r="CZ76" i="7"/>
  <c r="CY76" i="7"/>
  <c r="CX76" i="7"/>
  <c r="CW76" i="7"/>
  <c r="CV76" i="7"/>
  <c r="CU76" i="7"/>
  <c r="CT76" i="7"/>
  <c r="CS76" i="7"/>
  <c r="CR76" i="7"/>
  <c r="CQ76" i="7"/>
  <c r="CP76" i="7"/>
  <c r="CO76" i="7"/>
  <c r="CN76" i="7"/>
  <c r="CM76" i="7"/>
  <c r="CL76" i="7"/>
  <c r="BS76" i="7"/>
  <c r="BU76" i="7" s="1"/>
  <c r="BK76" i="7"/>
  <c r="BM76" i="7" s="1"/>
  <c r="BO76" i="7" s="1"/>
  <c r="BX76" i="7" s="1"/>
  <c r="AO76" i="7"/>
  <c r="FE76" i="7" s="1"/>
  <c r="AN76" i="7"/>
  <c r="AJ76" i="7"/>
  <c r="Z76" i="7"/>
  <c r="R76" i="7"/>
  <c r="FI75" i="7"/>
  <c r="FG75" i="7"/>
  <c r="FF75" i="7"/>
  <c r="FD75" i="7"/>
  <c r="EX75" i="7"/>
  <c r="EW75" i="7"/>
  <c r="EV75" i="7"/>
  <c r="EK75" i="7"/>
  <c r="EJ75" i="7"/>
  <c r="EI75" i="7"/>
  <c r="EH75" i="7"/>
  <c r="EG75" i="7"/>
  <c r="EF75" i="7"/>
  <c r="EE75" i="7"/>
  <c r="ED75" i="7"/>
  <c r="EC75" i="7"/>
  <c r="EB75" i="7"/>
  <c r="EA75" i="7"/>
  <c r="DZ75" i="7"/>
  <c r="DY75" i="7"/>
  <c r="DX75" i="7"/>
  <c r="DW75" i="7"/>
  <c r="DV75" i="7"/>
  <c r="DU75" i="7"/>
  <c r="DT75" i="7"/>
  <c r="DS75" i="7"/>
  <c r="DR75" i="7"/>
  <c r="DQ75" i="7"/>
  <c r="DP75" i="7"/>
  <c r="DO75" i="7"/>
  <c r="DN75" i="7"/>
  <c r="DM75" i="7"/>
  <c r="DL75" i="7"/>
  <c r="DK75" i="7"/>
  <c r="DJ75" i="7"/>
  <c r="DI75" i="7"/>
  <c r="DH75" i="7"/>
  <c r="DG75" i="7"/>
  <c r="DF75" i="7"/>
  <c r="DE75" i="7"/>
  <c r="DD75" i="7"/>
  <c r="DC75" i="7"/>
  <c r="DB75" i="7"/>
  <c r="DA75" i="7"/>
  <c r="CZ75" i="7"/>
  <c r="CY75" i="7"/>
  <c r="CX75" i="7"/>
  <c r="CW75" i="7"/>
  <c r="CV75" i="7"/>
  <c r="CU75" i="7"/>
  <c r="CT75" i="7"/>
  <c r="CS75" i="7"/>
  <c r="CR75" i="7"/>
  <c r="CQ75" i="7"/>
  <c r="CP75" i="7"/>
  <c r="CO75" i="7"/>
  <c r="CN75" i="7"/>
  <c r="CM75" i="7"/>
  <c r="CL75" i="7"/>
  <c r="BS75" i="7"/>
  <c r="BU75" i="7" s="1"/>
  <c r="BK75" i="7"/>
  <c r="BM75" i="7" s="1"/>
  <c r="BO75" i="7" s="1"/>
  <c r="AO75" i="7"/>
  <c r="EY75" i="7" s="1"/>
  <c r="AN75" i="7"/>
  <c r="AJ75" i="7"/>
  <c r="Z75" i="7"/>
  <c r="R75" i="7"/>
  <c r="FI74" i="7"/>
  <c r="FG74" i="7"/>
  <c r="FF74" i="7"/>
  <c r="FD74" i="7"/>
  <c r="EX74" i="7"/>
  <c r="EW74" i="7"/>
  <c r="EV74" i="7"/>
  <c r="EK74" i="7"/>
  <c r="EJ74" i="7"/>
  <c r="EI74" i="7"/>
  <c r="EH74" i="7"/>
  <c r="EG74" i="7"/>
  <c r="EF74" i="7"/>
  <c r="EE74" i="7"/>
  <c r="ED74" i="7"/>
  <c r="EC74" i="7"/>
  <c r="EB74" i="7"/>
  <c r="EA74" i="7"/>
  <c r="DZ74" i="7"/>
  <c r="DY74" i="7"/>
  <c r="DX74" i="7"/>
  <c r="DW74" i="7"/>
  <c r="DV74" i="7"/>
  <c r="DU74" i="7"/>
  <c r="DT74" i="7"/>
  <c r="DS74" i="7"/>
  <c r="DR74" i="7"/>
  <c r="DQ74" i="7"/>
  <c r="DP74" i="7"/>
  <c r="DO74" i="7"/>
  <c r="DN74" i="7"/>
  <c r="DM74" i="7"/>
  <c r="DL74" i="7"/>
  <c r="DK74" i="7"/>
  <c r="DJ74" i="7"/>
  <c r="DI74" i="7"/>
  <c r="DH74" i="7"/>
  <c r="DG74" i="7"/>
  <c r="DF74" i="7"/>
  <c r="DE74" i="7"/>
  <c r="DD74" i="7"/>
  <c r="DC74" i="7"/>
  <c r="DB74" i="7"/>
  <c r="DA74" i="7"/>
  <c r="CZ74" i="7"/>
  <c r="CY74" i="7"/>
  <c r="CX74" i="7"/>
  <c r="CW74" i="7"/>
  <c r="CV74" i="7"/>
  <c r="CU74" i="7"/>
  <c r="CT74" i="7"/>
  <c r="CS74" i="7"/>
  <c r="CR74" i="7"/>
  <c r="CQ74" i="7"/>
  <c r="CP74" i="7"/>
  <c r="CO74" i="7"/>
  <c r="CN74" i="7"/>
  <c r="CM74" i="7"/>
  <c r="CL74" i="7"/>
  <c r="BS74" i="7"/>
  <c r="BU74" i="7" s="1"/>
  <c r="BK74" i="7"/>
  <c r="BM74" i="7" s="1"/>
  <c r="BO74" i="7" s="1"/>
  <c r="AO74" i="7"/>
  <c r="AN74" i="7"/>
  <c r="FH74" i="7" s="1"/>
  <c r="AJ74" i="7"/>
  <c r="Z74" i="7"/>
  <c r="R74" i="7"/>
  <c r="FI73" i="7"/>
  <c r="FG73" i="7"/>
  <c r="FF73" i="7"/>
  <c r="FD73" i="7"/>
  <c r="EX73" i="7"/>
  <c r="EW73" i="7"/>
  <c r="EV73" i="7"/>
  <c r="EK73" i="7"/>
  <c r="EJ73" i="7"/>
  <c r="EI73" i="7"/>
  <c r="EH73" i="7"/>
  <c r="EG73" i="7"/>
  <c r="EF73" i="7"/>
  <c r="EE73" i="7"/>
  <c r="ED73" i="7"/>
  <c r="EC73" i="7"/>
  <c r="EB73" i="7"/>
  <c r="EA73" i="7"/>
  <c r="DZ73" i="7"/>
  <c r="DY73" i="7"/>
  <c r="DX73" i="7"/>
  <c r="DW73" i="7"/>
  <c r="DV73" i="7"/>
  <c r="DU73" i="7"/>
  <c r="DT73" i="7"/>
  <c r="DS73" i="7"/>
  <c r="DR73" i="7"/>
  <c r="DQ73" i="7"/>
  <c r="DP73" i="7"/>
  <c r="DO73" i="7"/>
  <c r="DN73" i="7"/>
  <c r="DM73" i="7"/>
  <c r="DL73" i="7"/>
  <c r="DK73" i="7"/>
  <c r="DJ73" i="7"/>
  <c r="DI73" i="7"/>
  <c r="DH73" i="7"/>
  <c r="DG73" i="7"/>
  <c r="DF73" i="7"/>
  <c r="DE73" i="7"/>
  <c r="DD73" i="7"/>
  <c r="DC73" i="7"/>
  <c r="DB73" i="7"/>
  <c r="DA73" i="7"/>
  <c r="CZ73" i="7"/>
  <c r="CY73" i="7"/>
  <c r="CX73" i="7"/>
  <c r="CW73" i="7"/>
  <c r="CV73" i="7"/>
  <c r="CU73" i="7"/>
  <c r="CT73" i="7"/>
  <c r="CS73" i="7"/>
  <c r="CR73" i="7"/>
  <c r="CQ73" i="7"/>
  <c r="CP73" i="7"/>
  <c r="CO73" i="7"/>
  <c r="CN73" i="7"/>
  <c r="CM73" i="7"/>
  <c r="CL73" i="7"/>
  <c r="BS73" i="7"/>
  <c r="BU73" i="7" s="1"/>
  <c r="BK73" i="7"/>
  <c r="BM73" i="7" s="1"/>
  <c r="BO73" i="7" s="1"/>
  <c r="BX73" i="7" s="1"/>
  <c r="AO73" i="7"/>
  <c r="EY73" i="7" s="1"/>
  <c r="AN73" i="7"/>
  <c r="AJ73" i="7"/>
  <c r="Z73" i="7"/>
  <c r="R73" i="7"/>
  <c r="FI72" i="7"/>
  <c r="FG72" i="7"/>
  <c r="FF72" i="7"/>
  <c r="FD72" i="7"/>
  <c r="EX72" i="7"/>
  <c r="EW72" i="7"/>
  <c r="EV72" i="7"/>
  <c r="EK72" i="7"/>
  <c r="EJ72" i="7"/>
  <c r="EI72" i="7"/>
  <c r="EH72" i="7"/>
  <c r="EG72" i="7"/>
  <c r="EF72" i="7"/>
  <c r="EE72" i="7"/>
  <c r="ED72" i="7"/>
  <c r="EC72" i="7"/>
  <c r="EB72" i="7"/>
  <c r="EA72" i="7"/>
  <c r="DZ72" i="7"/>
  <c r="DY72" i="7"/>
  <c r="DX72" i="7"/>
  <c r="DW72" i="7"/>
  <c r="DV72" i="7"/>
  <c r="DU72" i="7"/>
  <c r="DT72" i="7"/>
  <c r="DS72" i="7"/>
  <c r="DR72" i="7"/>
  <c r="DQ72" i="7"/>
  <c r="DP72" i="7"/>
  <c r="DO72" i="7"/>
  <c r="DN72" i="7"/>
  <c r="DM72" i="7"/>
  <c r="DL72" i="7"/>
  <c r="DK72" i="7"/>
  <c r="DJ72" i="7"/>
  <c r="DI72" i="7"/>
  <c r="DH72" i="7"/>
  <c r="DG72" i="7"/>
  <c r="DF72" i="7"/>
  <c r="DE72" i="7"/>
  <c r="DD72" i="7"/>
  <c r="DC72" i="7"/>
  <c r="DB72" i="7"/>
  <c r="DA72" i="7"/>
  <c r="CZ72" i="7"/>
  <c r="CY72" i="7"/>
  <c r="CX72" i="7"/>
  <c r="CW72" i="7"/>
  <c r="CV72" i="7"/>
  <c r="CU72" i="7"/>
  <c r="CT72" i="7"/>
  <c r="CS72" i="7"/>
  <c r="CR72" i="7"/>
  <c r="CQ72" i="7"/>
  <c r="CP72" i="7"/>
  <c r="CO72" i="7"/>
  <c r="CN72" i="7"/>
  <c r="CM72" i="7"/>
  <c r="CL72" i="7"/>
  <c r="BS72" i="7"/>
  <c r="BU72" i="7" s="1"/>
  <c r="BK72" i="7"/>
  <c r="BM72" i="7" s="1"/>
  <c r="BO72" i="7" s="1"/>
  <c r="BX72" i="7" s="1"/>
  <c r="BY72" i="7" s="1"/>
  <c r="AO72" i="7"/>
  <c r="AN72" i="7"/>
  <c r="AJ72" i="7"/>
  <c r="Z72" i="7"/>
  <c r="R72" i="7"/>
  <c r="FI71" i="7"/>
  <c r="FG71" i="7"/>
  <c r="FF71" i="7"/>
  <c r="FD71" i="7"/>
  <c r="EX71" i="7"/>
  <c r="EW71" i="7"/>
  <c r="EV71" i="7"/>
  <c r="EK71" i="7"/>
  <c r="EJ71" i="7"/>
  <c r="EI71" i="7"/>
  <c r="EH71" i="7"/>
  <c r="EG71" i="7"/>
  <c r="EF71" i="7"/>
  <c r="EE71" i="7"/>
  <c r="ED71" i="7"/>
  <c r="EC71" i="7"/>
  <c r="EB71" i="7"/>
  <c r="EA71" i="7"/>
  <c r="DZ71" i="7"/>
  <c r="DY71" i="7"/>
  <c r="DX71" i="7"/>
  <c r="DW71" i="7"/>
  <c r="DV71" i="7"/>
  <c r="DU71" i="7"/>
  <c r="DT71" i="7"/>
  <c r="DS71" i="7"/>
  <c r="DR71" i="7"/>
  <c r="DQ71" i="7"/>
  <c r="DP71" i="7"/>
  <c r="DO71" i="7"/>
  <c r="DN71" i="7"/>
  <c r="DM71" i="7"/>
  <c r="DL71" i="7"/>
  <c r="DK71" i="7"/>
  <c r="DJ71" i="7"/>
  <c r="DI71" i="7"/>
  <c r="DH71" i="7"/>
  <c r="DG71" i="7"/>
  <c r="DF71" i="7"/>
  <c r="DE71" i="7"/>
  <c r="DD71" i="7"/>
  <c r="DC71" i="7"/>
  <c r="DB71" i="7"/>
  <c r="DA71" i="7"/>
  <c r="CZ71" i="7"/>
  <c r="CY71" i="7"/>
  <c r="CX71" i="7"/>
  <c r="CW71" i="7"/>
  <c r="CV71" i="7"/>
  <c r="CU71" i="7"/>
  <c r="CT71" i="7"/>
  <c r="CS71" i="7"/>
  <c r="CR71" i="7"/>
  <c r="CQ71" i="7"/>
  <c r="CP71" i="7"/>
  <c r="CO71" i="7"/>
  <c r="CN71" i="7"/>
  <c r="CM71" i="7"/>
  <c r="CL71" i="7"/>
  <c r="BS71" i="7"/>
  <c r="BU71" i="7" s="1"/>
  <c r="BK71" i="7"/>
  <c r="BM71" i="7" s="1"/>
  <c r="BO71" i="7" s="1"/>
  <c r="BX71" i="7" s="1"/>
  <c r="AO71" i="7"/>
  <c r="FA71" i="7" s="1"/>
  <c r="AN71" i="7"/>
  <c r="AU71" i="7" s="1"/>
  <c r="AJ71" i="7"/>
  <c r="Z71" i="7"/>
  <c r="R71" i="7"/>
  <c r="FI70" i="7"/>
  <c r="FG70" i="7"/>
  <c r="FF70" i="7"/>
  <c r="FD70" i="7"/>
  <c r="EX70" i="7"/>
  <c r="EW70" i="7"/>
  <c r="EV70" i="7"/>
  <c r="EK70" i="7"/>
  <c r="EJ70" i="7"/>
  <c r="EI70" i="7"/>
  <c r="EH70" i="7"/>
  <c r="EG70" i="7"/>
  <c r="EF70" i="7"/>
  <c r="EE70" i="7"/>
  <c r="ED70" i="7"/>
  <c r="EC70" i="7"/>
  <c r="EB70" i="7"/>
  <c r="EA70" i="7"/>
  <c r="DZ70" i="7"/>
  <c r="DY70" i="7"/>
  <c r="DX70" i="7"/>
  <c r="DW70" i="7"/>
  <c r="DV70" i="7"/>
  <c r="DU70" i="7"/>
  <c r="DT70" i="7"/>
  <c r="DS70" i="7"/>
  <c r="DR70" i="7"/>
  <c r="DQ70" i="7"/>
  <c r="DP70" i="7"/>
  <c r="DO70" i="7"/>
  <c r="DN70" i="7"/>
  <c r="DM70" i="7"/>
  <c r="DL70" i="7"/>
  <c r="DK70" i="7"/>
  <c r="DJ70" i="7"/>
  <c r="DI70" i="7"/>
  <c r="DH70" i="7"/>
  <c r="DG70" i="7"/>
  <c r="DF70" i="7"/>
  <c r="DE70" i="7"/>
  <c r="DD70" i="7"/>
  <c r="DC70" i="7"/>
  <c r="DB70" i="7"/>
  <c r="DA70" i="7"/>
  <c r="CZ70" i="7"/>
  <c r="CY70" i="7"/>
  <c r="CX70" i="7"/>
  <c r="CW70" i="7"/>
  <c r="CV70" i="7"/>
  <c r="CU70" i="7"/>
  <c r="CT70" i="7"/>
  <c r="CS70" i="7"/>
  <c r="CR70" i="7"/>
  <c r="CQ70" i="7"/>
  <c r="CP70" i="7"/>
  <c r="CO70" i="7"/>
  <c r="CN70" i="7"/>
  <c r="CM70" i="7"/>
  <c r="CL70" i="7"/>
  <c r="BS70" i="7"/>
  <c r="BU70" i="7" s="1"/>
  <c r="BK70" i="7"/>
  <c r="BM70" i="7" s="1"/>
  <c r="BO70" i="7" s="1"/>
  <c r="BX70" i="7" s="1"/>
  <c r="AO70" i="7"/>
  <c r="AN70" i="7"/>
  <c r="AJ70" i="7"/>
  <c r="Z70" i="7"/>
  <c r="R70" i="7"/>
  <c r="FI69" i="7"/>
  <c r="FG69" i="7"/>
  <c r="FF69" i="7"/>
  <c r="FD69" i="7"/>
  <c r="EX69" i="7"/>
  <c r="EW69" i="7"/>
  <c r="EV69" i="7"/>
  <c r="EK69" i="7"/>
  <c r="EJ69" i="7"/>
  <c r="EI69" i="7"/>
  <c r="EH69" i="7"/>
  <c r="EG69" i="7"/>
  <c r="EF69" i="7"/>
  <c r="EE69" i="7"/>
  <c r="ED69" i="7"/>
  <c r="EC69" i="7"/>
  <c r="EB69" i="7"/>
  <c r="EA69" i="7"/>
  <c r="DZ69" i="7"/>
  <c r="DY69" i="7"/>
  <c r="DX69" i="7"/>
  <c r="DW69" i="7"/>
  <c r="DV69" i="7"/>
  <c r="DU69" i="7"/>
  <c r="DT69" i="7"/>
  <c r="DS69" i="7"/>
  <c r="DR69" i="7"/>
  <c r="DQ69" i="7"/>
  <c r="DP69" i="7"/>
  <c r="DO69" i="7"/>
  <c r="DN69" i="7"/>
  <c r="DM69" i="7"/>
  <c r="DL69" i="7"/>
  <c r="DK69" i="7"/>
  <c r="DJ69" i="7"/>
  <c r="DI69" i="7"/>
  <c r="DH69" i="7"/>
  <c r="DG69" i="7"/>
  <c r="DF69" i="7"/>
  <c r="DE69" i="7"/>
  <c r="DD69" i="7"/>
  <c r="DC69" i="7"/>
  <c r="DB69" i="7"/>
  <c r="DA69" i="7"/>
  <c r="CZ69" i="7"/>
  <c r="CY69" i="7"/>
  <c r="CX69" i="7"/>
  <c r="CW69" i="7"/>
  <c r="CV69" i="7"/>
  <c r="CU69" i="7"/>
  <c r="CT69" i="7"/>
  <c r="CS69" i="7"/>
  <c r="CR69" i="7"/>
  <c r="CQ69" i="7"/>
  <c r="CP69" i="7"/>
  <c r="CO69" i="7"/>
  <c r="CN69" i="7"/>
  <c r="CM69" i="7"/>
  <c r="CL69" i="7"/>
  <c r="BS69" i="7"/>
  <c r="BU69" i="7" s="1"/>
  <c r="BK69" i="7"/>
  <c r="BM69" i="7" s="1"/>
  <c r="BO69" i="7" s="1"/>
  <c r="AO69" i="7"/>
  <c r="AN69" i="7"/>
  <c r="AJ69" i="7"/>
  <c r="Z69" i="7"/>
  <c r="R69" i="7"/>
  <c r="FI68" i="7"/>
  <c r="FG68" i="7"/>
  <c r="FF68" i="7"/>
  <c r="FD68" i="7"/>
  <c r="EX68" i="7"/>
  <c r="EW68" i="7"/>
  <c r="EV68" i="7"/>
  <c r="EK68" i="7"/>
  <c r="EJ68" i="7"/>
  <c r="EI68" i="7"/>
  <c r="EH68" i="7"/>
  <c r="EG68" i="7"/>
  <c r="EF68" i="7"/>
  <c r="EE68" i="7"/>
  <c r="ED68" i="7"/>
  <c r="EC68" i="7"/>
  <c r="EB68" i="7"/>
  <c r="EA68" i="7"/>
  <c r="DZ68" i="7"/>
  <c r="DY68" i="7"/>
  <c r="DX68" i="7"/>
  <c r="DW68" i="7"/>
  <c r="DV68" i="7"/>
  <c r="DU68" i="7"/>
  <c r="DT68" i="7"/>
  <c r="DS68" i="7"/>
  <c r="DR68" i="7"/>
  <c r="DQ68" i="7"/>
  <c r="DP68" i="7"/>
  <c r="DO68" i="7"/>
  <c r="DN68" i="7"/>
  <c r="DM68" i="7"/>
  <c r="DL68" i="7"/>
  <c r="DK68" i="7"/>
  <c r="DJ68" i="7"/>
  <c r="DI68" i="7"/>
  <c r="DH68" i="7"/>
  <c r="DG68" i="7"/>
  <c r="DF68" i="7"/>
  <c r="DE68" i="7"/>
  <c r="DD68" i="7"/>
  <c r="DC68" i="7"/>
  <c r="DB68" i="7"/>
  <c r="DA68" i="7"/>
  <c r="CZ68" i="7"/>
  <c r="CY68" i="7"/>
  <c r="CX68" i="7"/>
  <c r="CW68" i="7"/>
  <c r="CV68" i="7"/>
  <c r="CU68" i="7"/>
  <c r="CT68" i="7"/>
  <c r="CS68" i="7"/>
  <c r="CR68" i="7"/>
  <c r="CQ68" i="7"/>
  <c r="CP68" i="7"/>
  <c r="CO68" i="7"/>
  <c r="CN68" i="7"/>
  <c r="CM68" i="7"/>
  <c r="CL68" i="7"/>
  <c r="BS68" i="7"/>
  <c r="BU68" i="7" s="1"/>
  <c r="BK68" i="7"/>
  <c r="BM68" i="7" s="1"/>
  <c r="BO68" i="7" s="1"/>
  <c r="AO68" i="7"/>
  <c r="EY68" i="7" s="1"/>
  <c r="AN68" i="7"/>
  <c r="AJ68" i="7"/>
  <c r="Z68" i="7"/>
  <c r="R68" i="7"/>
  <c r="FI67" i="7"/>
  <c r="FG67" i="7"/>
  <c r="FF67" i="7"/>
  <c r="FD67" i="7"/>
  <c r="EX67" i="7"/>
  <c r="EW67" i="7"/>
  <c r="EV67" i="7"/>
  <c r="EK67" i="7"/>
  <c r="EJ67" i="7"/>
  <c r="EI67" i="7"/>
  <c r="EH67" i="7"/>
  <c r="EG67" i="7"/>
  <c r="EF67" i="7"/>
  <c r="EE67" i="7"/>
  <c r="ED67" i="7"/>
  <c r="EC67" i="7"/>
  <c r="EB67" i="7"/>
  <c r="EA67" i="7"/>
  <c r="DZ67" i="7"/>
  <c r="DY67" i="7"/>
  <c r="DX67" i="7"/>
  <c r="DW67" i="7"/>
  <c r="DV67" i="7"/>
  <c r="DU67" i="7"/>
  <c r="DT67" i="7"/>
  <c r="DS67" i="7"/>
  <c r="DR67" i="7"/>
  <c r="DQ67" i="7"/>
  <c r="DP67" i="7"/>
  <c r="DO67" i="7"/>
  <c r="DN67" i="7"/>
  <c r="DM67" i="7"/>
  <c r="DL67" i="7"/>
  <c r="DK67" i="7"/>
  <c r="DJ67" i="7"/>
  <c r="DI67" i="7"/>
  <c r="DH67" i="7"/>
  <c r="DG67" i="7"/>
  <c r="DF67" i="7"/>
  <c r="DE67" i="7"/>
  <c r="DD67" i="7"/>
  <c r="DC67" i="7"/>
  <c r="DB67" i="7"/>
  <c r="DA67" i="7"/>
  <c r="CZ67" i="7"/>
  <c r="CY67" i="7"/>
  <c r="CX67" i="7"/>
  <c r="CW67" i="7"/>
  <c r="CV67" i="7"/>
  <c r="CU67" i="7"/>
  <c r="CT67" i="7"/>
  <c r="CS67" i="7"/>
  <c r="CR67" i="7"/>
  <c r="CQ67" i="7"/>
  <c r="CP67" i="7"/>
  <c r="CO67" i="7"/>
  <c r="CN67" i="7"/>
  <c r="CM67" i="7"/>
  <c r="CL67" i="7"/>
  <c r="BX67" i="7"/>
  <c r="BS67" i="7"/>
  <c r="BU67" i="7" s="1"/>
  <c r="EP67" i="7" s="1"/>
  <c r="AO67" i="7"/>
  <c r="EY67" i="7" s="1"/>
  <c r="AN67" i="7"/>
  <c r="AJ67" i="7"/>
  <c r="Z67" i="7"/>
  <c r="R67" i="7"/>
  <c r="FI66" i="7"/>
  <c r="FG66" i="7"/>
  <c r="FF66" i="7"/>
  <c r="FD66" i="7"/>
  <c r="EX66" i="7"/>
  <c r="EW66" i="7"/>
  <c r="EV66" i="7"/>
  <c r="EK66" i="7"/>
  <c r="EJ66" i="7"/>
  <c r="EI66" i="7"/>
  <c r="EH66" i="7"/>
  <c r="EG66" i="7"/>
  <c r="EF66" i="7"/>
  <c r="EE66" i="7"/>
  <c r="ED66" i="7"/>
  <c r="EC66" i="7"/>
  <c r="EB66" i="7"/>
  <c r="EA66" i="7"/>
  <c r="DZ66" i="7"/>
  <c r="DY66" i="7"/>
  <c r="DX66" i="7"/>
  <c r="DW66" i="7"/>
  <c r="DV66" i="7"/>
  <c r="DU66" i="7"/>
  <c r="DT66" i="7"/>
  <c r="DS66" i="7"/>
  <c r="DR66" i="7"/>
  <c r="DQ66" i="7"/>
  <c r="DP66" i="7"/>
  <c r="DO66" i="7"/>
  <c r="DN66" i="7"/>
  <c r="DM66" i="7"/>
  <c r="DL66" i="7"/>
  <c r="DK66" i="7"/>
  <c r="DJ66" i="7"/>
  <c r="DI66" i="7"/>
  <c r="DH66" i="7"/>
  <c r="DG66" i="7"/>
  <c r="DF66" i="7"/>
  <c r="DE66" i="7"/>
  <c r="DD66" i="7"/>
  <c r="DC66" i="7"/>
  <c r="DB66" i="7"/>
  <c r="DA66" i="7"/>
  <c r="CZ66" i="7"/>
  <c r="CY66" i="7"/>
  <c r="CX66" i="7"/>
  <c r="CW66" i="7"/>
  <c r="CV66" i="7"/>
  <c r="CU66" i="7"/>
  <c r="CT66" i="7"/>
  <c r="CS66" i="7"/>
  <c r="CR66" i="7"/>
  <c r="CQ66" i="7"/>
  <c r="CP66" i="7"/>
  <c r="CO66" i="7"/>
  <c r="CN66" i="7"/>
  <c r="CM66" i="7"/>
  <c r="CL66" i="7"/>
  <c r="BX66" i="7"/>
  <c r="BY66" i="7" s="1"/>
  <c r="EQ66" i="7" s="1"/>
  <c r="BS66" i="7"/>
  <c r="BU66" i="7" s="1"/>
  <c r="EP66" i="7" s="1"/>
  <c r="AO66" i="7"/>
  <c r="AN66" i="7"/>
  <c r="FH66" i="7" s="1"/>
  <c r="AJ66" i="7"/>
  <c r="Z66" i="7"/>
  <c r="R66" i="7"/>
  <c r="FI65" i="7"/>
  <c r="FG65" i="7"/>
  <c r="FF65" i="7"/>
  <c r="FD65" i="7"/>
  <c r="EX65" i="7"/>
  <c r="EW65" i="7"/>
  <c r="EV65" i="7"/>
  <c r="EK65" i="7"/>
  <c r="EJ65" i="7"/>
  <c r="EI65" i="7"/>
  <c r="EH65" i="7"/>
  <c r="EG65" i="7"/>
  <c r="EF65" i="7"/>
  <c r="EE65" i="7"/>
  <c r="ED65" i="7"/>
  <c r="EC65" i="7"/>
  <c r="EB65" i="7"/>
  <c r="EA65" i="7"/>
  <c r="DZ65" i="7"/>
  <c r="DY65" i="7"/>
  <c r="DX65" i="7"/>
  <c r="DW65" i="7"/>
  <c r="DV65" i="7"/>
  <c r="DU65" i="7"/>
  <c r="DT65" i="7"/>
  <c r="DS65" i="7"/>
  <c r="DR65" i="7"/>
  <c r="DQ65" i="7"/>
  <c r="DP65" i="7"/>
  <c r="DO65" i="7"/>
  <c r="DN65" i="7"/>
  <c r="DM65" i="7"/>
  <c r="DL65" i="7"/>
  <c r="DK65" i="7"/>
  <c r="DJ65" i="7"/>
  <c r="DI65" i="7"/>
  <c r="DH65" i="7"/>
  <c r="DG65" i="7"/>
  <c r="DF65" i="7"/>
  <c r="DE65" i="7"/>
  <c r="DD65" i="7"/>
  <c r="DC65" i="7"/>
  <c r="DB65" i="7"/>
  <c r="DA65" i="7"/>
  <c r="CZ65" i="7"/>
  <c r="CY65" i="7"/>
  <c r="CX65" i="7"/>
  <c r="CW65" i="7"/>
  <c r="CV65" i="7"/>
  <c r="CU65" i="7"/>
  <c r="CT65" i="7"/>
  <c r="CS65" i="7"/>
  <c r="CR65" i="7"/>
  <c r="CQ65" i="7"/>
  <c r="CP65" i="7"/>
  <c r="CO65" i="7"/>
  <c r="CN65" i="7"/>
  <c r="CM65" i="7"/>
  <c r="CL65" i="7"/>
  <c r="BX65" i="7"/>
  <c r="BS65" i="7"/>
  <c r="BU65" i="7" s="1"/>
  <c r="EP65" i="7" s="1"/>
  <c r="AO65" i="7"/>
  <c r="FE65" i="7" s="1"/>
  <c r="AN65" i="7"/>
  <c r="AJ65" i="7"/>
  <c r="Z65" i="7"/>
  <c r="R65" i="7"/>
  <c r="FI64" i="7"/>
  <c r="FG64" i="7"/>
  <c r="FF64" i="7"/>
  <c r="FD64" i="7"/>
  <c r="EX64" i="7"/>
  <c r="EW64" i="7"/>
  <c r="EV64" i="7"/>
  <c r="EK64" i="7"/>
  <c r="EJ64" i="7"/>
  <c r="EI64" i="7"/>
  <c r="EH64" i="7"/>
  <c r="EG64" i="7"/>
  <c r="EF64" i="7"/>
  <c r="EE64" i="7"/>
  <c r="ED64" i="7"/>
  <c r="EC64" i="7"/>
  <c r="EB64" i="7"/>
  <c r="EA64" i="7"/>
  <c r="DZ64" i="7"/>
  <c r="DY64" i="7"/>
  <c r="DX64" i="7"/>
  <c r="DW64" i="7"/>
  <c r="DV64" i="7"/>
  <c r="DU64" i="7"/>
  <c r="DT64" i="7"/>
  <c r="DS64" i="7"/>
  <c r="DR64" i="7"/>
  <c r="DQ64" i="7"/>
  <c r="DP64" i="7"/>
  <c r="DO64" i="7"/>
  <c r="DN64" i="7"/>
  <c r="DM64" i="7"/>
  <c r="DL64" i="7"/>
  <c r="DK64" i="7"/>
  <c r="DJ64" i="7"/>
  <c r="DI64" i="7"/>
  <c r="DH64" i="7"/>
  <c r="DG64" i="7"/>
  <c r="DF64" i="7"/>
  <c r="DE64" i="7"/>
  <c r="DD64" i="7"/>
  <c r="DC64" i="7"/>
  <c r="DB64" i="7"/>
  <c r="DA64" i="7"/>
  <c r="CZ64" i="7"/>
  <c r="CY64" i="7"/>
  <c r="CX64" i="7"/>
  <c r="CW64" i="7"/>
  <c r="CV64" i="7"/>
  <c r="CU64" i="7"/>
  <c r="CT64" i="7"/>
  <c r="CS64" i="7"/>
  <c r="CR64" i="7"/>
  <c r="CQ64" i="7"/>
  <c r="CP64" i="7"/>
  <c r="CO64" i="7"/>
  <c r="CN64" i="7"/>
  <c r="CM64" i="7"/>
  <c r="CL64" i="7"/>
  <c r="BX64" i="7"/>
  <c r="BY64" i="7" s="1"/>
  <c r="BS64" i="7"/>
  <c r="BU64" i="7" s="1"/>
  <c r="EP64" i="7" s="1"/>
  <c r="AO64" i="7"/>
  <c r="EY64" i="7" s="1"/>
  <c r="AN64" i="7"/>
  <c r="FH64" i="7" s="1"/>
  <c r="AJ64" i="7"/>
  <c r="Z64" i="7"/>
  <c r="R64" i="7"/>
  <c r="FI63" i="7"/>
  <c r="FG63" i="7"/>
  <c r="FF63" i="7"/>
  <c r="FD63" i="7"/>
  <c r="EX63" i="7"/>
  <c r="EW63" i="7"/>
  <c r="EV63" i="7"/>
  <c r="EK63" i="7"/>
  <c r="EJ63" i="7"/>
  <c r="EI63" i="7"/>
  <c r="EH63" i="7"/>
  <c r="EG63" i="7"/>
  <c r="EF63" i="7"/>
  <c r="EE63" i="7"/>
  <c r="ED63" i="7"/>
  <c r="EC63" i="7"/>
  <c r="EB63" i="7"/>
  <c r="EA63" i="7"/>
  <c r="DZ63" i="7"/>
  <c r="DY63" i="7"/>
  <c r="DX63" i="7"/>
  <c r="DW63" i="7"/>
  <c r="DV63" i="7"/>
  <c r="DU63" i="7"/>
  <c r="DT63" i="7"/>
  <c r="DS63" i="7"/>
  <c r="DR63" i="7"/>
  <c r="DQ63" i="7"/>
  <c r="DP63" i="7"/>
  <c r="DO63" i="7"/>
  <c r="DN63" i="7"/>
  <c r="DM63" i="7"/>
  <c r="DL63" i="7"/>
  <c r="DK63" i="7"/>
  <c r="DJ63" i="7"/>
  <c r="DI63" i="7"/>
  <c r="DH63" i="7"/>
  <c r="DG63" i="7"/>
  <c r="DF63" i="7"/>
  <c r="DE63" i="7"/>
  <c r="DD63" i="7"/>
  <c r="DC63" i="7"/>
  <c r="DB63" i="7"/>
  <c r="DA63" i="7"/>
  <c r="CZ63" i="7"/>
  <c r="CY63" i="7"/>
  <c r="CX63" i="7"/>
  <c r="CW63" i="7"/>
  <c r="CV63" i="7"/>
  <c r="CU63" i="7"/>
  <c r="CT63" i="7"/>
  <c r="CS63" i="7"/>
  <c r="CR63" i="7"/>
  <c r="CQ63" i="7"/>
  <c r="CP63" i="7"/>
  <c r="CO63" i="7"/>
  <c r="CN63" i="7"/>
  <c r="CM63" i="7"/>
  <c r="CL63" i="7"/>
  <c r="BX63" i="7"/>
  <c r="BY63" i="7" s="1"/>
  <c r="BS63" i="7"/>
  <c r="BU63" i="7" s="1"/>
  <c r="EP63" i="7" s="1"/>
  <c r="AO63" i="7"/>
  <c r="AN63" i="7"/>
  <c r="AJ63" i="7"/>
  <c r="Z63" i="7"/>
  <c r="R63" i="7"/>
  <c r="FI62" i="7"/>
  <c r="FG62" i="7"/>
  <c r="FD62" i="7"/>
  <c r="EX62" i="7"/>
  <c r="EW62" i="7"/>
  <c r="EV62" i="7"/>
  <c r="EK62" i="7"/>
  <c r="EJ62" i="7"/>
  <c r="EI62" i="7"/>
  <c r="EH62" i="7"/>
  <c r="EG62" i="7"/>
  <c r="EF62" i="7"/>
  <c r="EE62" i="7"/>
  <c r="ED62" i="7"/>
  <c r="EC62" i="7"/>
  <c r="EB62" i="7"/>
  <c r="EA62" i="7"/>
  <c r="DZ62" i="7"/>
  <c r="DY62" i="7"/>
  <c r="DX62" i="7"/>
  <c r="DW62" i="7"/>
  <c r="DV62" i="7"/>
  <c r="DU62" i="7"/>
  <c r="DT62" i="7"/>
  <c r="DS62" i="7"/>
  <c r="DR62" i="7"/>
  <c r="DQ62" i="7"/>
  <c r="DP62" i="7"/>
  <c r="DO62" i="7"/>
  <c r="DN62" i="7"/>
  <c r="DM62" i="7"/>
  <c r="DL62" i="7"/>
  <c r="DK62" i="7"/>
  <c r="DJ62" i="7"/>
  <c r="DI62" i="7"/>
  <c r="DH62" i="7"/>
  <c r="DG62" i="7"/>
  <c r="DF62" i="7"/>
  <c r="DE62" i="7"/>
  <c r="DD62" i="7"/>
  <c r="DC62" i="7"/>
  <c r="DB62" i="7"/>
  <c r="DA62" i="7"/>
  <c r="CZ62" i="7"/>
  <c r="CY62" i="7"/>
  <c r="CX62" i="7"/>
  <c r="CW62" i="7"/>
  <c r="CV62" i="7"/>
  <c r="CU62" i="7"/>
  <c r="CT62" i="7"/>
  <c r="CS62" i="7"/>
  <c r="CR62" i="7"/>
  <c r="CQ62" i="7"/>
  <c r="CP62" i="7"/>
  <c r="CO62" i="7"/>
  <c r="CN62" i="7"/>
  <c r="CM62" i="7"/>
  <c r="CL62" i="7"/>
  <c r="BS62" i="7"/>
  <c r="BU62" i="7" s="1"/>
  <c r="BM62" i="7"/>
  <c r="BO62" i="7" s="1"/>
  <c r="BX62" i="7" s="1"/>
  <c r="AO62" i="7"/>
  <c r="AN62" i="7"/>
  <c r="AJ62" i="7"/>
  <c r="Z62" i="7"/>
  <c r="R62" i="7"/>
  <c r="FI61" i="7"/>
  <c r="FG61" i="7"/>
  <c r="FD61" i="7"/>
  <c r="EX61" i="7"/>
  <c r="EW61" i="7"/>
  <c r="EV61" i="7"/>
  <c r="EK61" i="7"/>
  <c r="EJ61" i="7"/>
  <c r="EI61" i="7"/>
  <c r="EH61" i="7"/>
  <c r="EG61" i="7"/>
  <c r="EF61" i="7"/>
  <c r="EE61" i="7"/>
  <c r="ED61" i="7"/>
  <c r="EC61" i="7"/>
  <c r="EB61" i="7"/>
  <c r="EA61" i="7"/>
  <c r="DZ61" i="7"/>
  <c r="DY61" i="7"/>
  <c r="DX61" i="7"/>
  <c r="DW61" i="7"/>
  <c r="DV61" i="7"/>
  <c r="DU61" i="7"/>
  <c r="DT61" i="7"/>
  <c r="DS61" i="7"/>
  <c r="DR61" i="7"/>
  <c r="DQ61" i="7"/>
  <c r="DP61" i="7"/>
  <c r="DO61" i="7"/>
  <c r="DN61" i="7"/>
  <c r="DM61" i="7"/>
  <c r="DL61" i="7"/>
  <c r="DK61" i="7"/>
  <c r="DJ61" i="7"/>
  <c r="DI61" i="7"/>
  <c r="DH61" i="7"/>
  <c r="DG61" i="7"/>
  <c r="DF61" i="7"/>
  <c r="DE61" i="7"/>
  <c r="DD61" i="7"/>
  <c r="DC61" i="7"/>
  <c r="DB61" i="7"/>
  <c r="DA61" i="7"/>
  <c r="CZ61" i="7"/>
  <c r="CY61" i="7"/>
  <c r="CX61" i="7"/>
  <c r="CW61" i="7"/>
  <c r="CV61" i="7"/>
  <c r="CU61" i="7"/>
  <c r="CT61" i="7"/>
  <c r="CS61" i="7"/>
  <c r="CR61" i="7"/>
  <c r="CQ61" i="7"/>
  <c r="CP61" i="7"/>
  <c r="CO61" i="7"/>
  <c r="CN61" i="7"/>
  <c r="CM61" i="7"/>
  <c r="CL61" i="7"/>
  <c r="BS61" i="7"/>
  <c r="BU61" i="7" s="1"/>
  <c r="BM61" i="7"/>
  <c r="BO61" i="7" s="1"/>
  <c r="AO61" i="7"/>
  <c r="AN61" i="7"/>
  <c r="EZ61" i="7" s="1"/>
  <c r="AJ61" i="7"/>
  <c r="Z61" i="7"/>
  <c r="R61" i="7"/>
  <c r="FI60" i="7"/>
  <c r="FG60" i="7"/>
  <c r="FD60" i="7"/>
  <c r="EX60" i="7"/>
  <c r="EW60" i="7"/>
  <c r="EV60" i="7"/>
  <c r="EK60" i="7"/>
  <c r="EJ60" i="7"/>
  <c r="EI60" i="7"/>
  <c r="EH60" i="7"/>
  <c r="EG60" i="7"/>
  <c r="EF60" i="7"/>
  <c r="EE60" i="7"/>
  <c r="ED60" i="7"/>
  <c r="EC60" i="7"/>
  <c r="EB60" i="7"/>
  <c r="EA60" i="7"/>
  <c r="DZ60" i="7"/>
  <c r="DY60" i="7"/>
  <c r="DX60" i="7"/>
  <c r="DW60" i="7"/>
  <c r="DV60" i="7"/>
  <c r="DU60" i="7"/>
  <c r="DT60" i="7"/>
  <c r="DS60" i="7"/>
  <c r="DR60" i="7"/>
  <c r="DQ60" i="7"/>
  <c r="DP60" i="7"/>
  <c r="DO60" i="7"/>
  <c r="DN60" i="7"/>
  <c r="DM60" i="7"/>
  <c r="DL60" i="7"/>
  <c r="DK60" i="7"/>
  <c r="DJ60" i="7"/>
  <c r="DI60" i="7"/>
  <c r="DH60" i="7"/>
  <c r="DG60" i="7"/>
  <c r="DF60" i="7"/>
  <c r="DE60" i="7"/>
  <c r="DD60" i="7"/>
  <c r="DC60" i="7"/>
  <c r="DB60" i="7"/>
  <c r="DA60" i="7"/>
  <c r="CZ60" i="7"/>
  <c r="CY60" i="7"/>
  <c r="CX60" i="7"/>
  <c r="CW60" i="7"/>
  <c r="CV60" i="7"/>
  <c r="CU60" i="7"/>
  <c r="CT60" i="7"/>
  <c r="CS60" i="7"/>
  <c r="CR60" i="7"/>
  <c r="CQ60" i="7"/>
  <c r="CP60" i="7"/>
  <c r="CO60" i="7"/>
  <c r="CN60" i="7"/>
  <c r="CM60" i="7"/>
  <c r="CL60" i="7"/>
  <c r="BS60" i="7"/>
  <c r="BU60" i="7" s="1"/>
  <c r="BM60" i="7"/>
  <c r="BO60" i="7" s="1"/>
  <c r="AO60" i="7"/>
  <c r="AN60" i="7"/>
  <c r="AJ60" i="7"/>
  <c r="Z60" i="7"/>
  <c r="R60" i="7"/>
  <c r="FI59" i="7"/>
  <c r="FG59" i="7"/>
  <c r="FD59" i="7"/>
  <c r="EX59" i="7"/>
  <c r="EW59" i="7"/>
  <c r="EV59" i="7"/>
  <c r="EK59" i="7"/>
  <c r="EJ59" i="7"/>
  <c r="EI59" i="7"/>
  <c r="EH59" i="7"/>
  <c r="EG59" i="7"/>
  <c r="EF59" i="7"/>
  <c r="EE59" i="7"/>
  <c r="ED59" i="7"/>
  <c r="EC59" i="7"/>
  <c r="EB59" i="7"/>
  <c r="EA59" i="7"/>
  <c r="DZ59" i="7"/>
  <c r="DY59" i="7"/>
  <c r="DX59" i="7"/>
  <c r="DW59" i="7"/>
  <c r="DV59" i="7"/>
  <c r="DU59" i="7"/>
  <c r="DT59" i="7"/>
  <c r="DS59" i="7"/>
  <c r="DR59" i="7"/>
  <c r="DQ59" i="7"/>
  <c r="DP59" i="7"/>
  <c r="DO59" i="7"/>
  <c r="DN59" i="7"/>
  <c r="DM59" i="7"/>
  <c r="DL59" i="7"/>
  <c r="DK59" i="7"/>
  <c r="DJ59" i="7"/>
  <c r="DI59" i="7"/>
  <c r="DH59" i="7"/>
  <c r="DG59" i="7"/>
  <c r="DF59" i="7"/>
  <c r="DE59" i="7"/>
  <c r="DD59" i="7"/>
  <c r="DC59" i="7"/>
  <c r="DB59" i="7"/>
  <c r="DA59" i="7"/>
  <c r="CZ59" i="7"/>
  <c r="CY59" i="7"/>
  <c r="CX59" i="7"/>
  <c r="CW59" i="7"/>
  <c r="CV59" i="7"/>
  <c r="CU59" i="7"/>
  <c r="CT59" i="7"/>
  <c r="CS59" i="7"/>
  <c r="CR59" i="7"/>
  <c r="CQ59" i="7"/>
  <c r="CP59" i="7"/>
  <c r="CO59" i="7"/>
  <c r="CN59" i="7"/>
  <c r="CM59" i="7"/>
  <c r="CL59" i="7"/>
  <c r="BS59" i="7"/>
  <c r="BU59" i="7" s="1"/>
  <c r="BM59" i="7"/>
  <c r="BO59" i="7" s="1"/>
  <c r="BX59" i="7" s="1"/>
  <c r="BY59" i="7" s="1"/>
  <c r="AO59" i="7"/>
  <c r="EY59" i="7" s="1"/>
  <c r="AN59" i="7"/>
  <c r="FB59" i="7" s="1"/>
  <c r="AJ59" i="7"/>
  <c r="Z59" i="7"/>
  <c r="R59" i="7"/>
  <c r="FI58" i="7"/>
  <c r="FG58" i="7"/>
  <c r="FD58" i="7"/>
  <c r="EX58" i="7"/>
  <c r="EW58" i="7"/>
  <c r="EV58" i="7"/>
  <c r="EK58" i="7"/>
  <c r="EJ58" i="7"/>
  <c r="EI58" i="7"/>
  <c r="EH58" i="7"/>
  <c r="EG58" i="7"/>
  <c r="EF58" i="7"/>
  <c r="EE58" i="7"/>
  <c r="ED58" i="7"/>
  <c r="EC58" i="7"/>
  <c r="EB58" i="7"/>
  <c r="EA58" i="7"/>
  <c r="DZ58" i="7"/>
  <c r="DY58" i="7"/>
  <c r="DX58" i="7"/>
  <c r="DW58" i="7"/>
  <c r="DV58" i="7"/>
  <c r="DU58" i="7"/>
  <c r="DT58" i="7"/>
  <c r="DS58" i="7"/>
  <c r="DR58" i="7"/>
  <c r="DQ58" i="7"/>
  <c r="DP58" i="7"/>
  <c r="DO58" i="7"/>
  <c r="DN58" i="7"/>
  <c r="DM58" i="7"/>
  <c r="DL58" i="7"/>
  <c r="DK58" i="7"/>
  <c r="DJ58" i="7"/>
  <c r="DI58" i="7"/>
  <c r="DH58" i="7"/>
  <c r="DG58" i="7"/>
  <c r="DF58" i="7"/>
  <c r="DE58" i="7"/>
  <c r="DD58" i="7"/>
  <c r="DC58" i="7"/>
  <c r="DB58" i="7"/>
  <c r="DA58" i="7"/>
  <c r="CZ58" i="7"/>
  <c r="CY58" i="7"/>
  <c r="CX58" i="7"/>
  <c r="CW58" i="7"/>
  <c r="CV58" i="7"/>
  <c r="CU58" i="7"/>
  <c r="CT58" i="7"/>
  <c r="CS58" i="7"/>
  <c r="CR58" i="7"/>
  <c r="CQ58" i="7"/>
  <c r="CP58" i="7"/>
  <c r="CO58" i="7"/>
  <c r="CN58" i="7"/>
  <c r="CM58" i="7"/>
  <c r="CL58" i="7"/>
  <c r="BS58" i="7"/>
  <c r="BU58" i="7" s="1"/>
  <c r="BM58" i="7"/>
  <c r="BO58" i="7" s="1"/>
  <c r="BX58" i="7" s="1"/>
  <c r="AO58" i="7"/>
  <c r="AN58" i="7"/>
  <c r="AJ58" i="7"/>
  <c r="Z58" i="7"/>
  <c r="R58" i="7"/>
  <c r="FI57" i="7"/>
  <c r="FG57" i="7"/>
  <c r="FD57" i="7"/>
  <c r="EX57" i="7"/>
  <c r="EW57" i="7"/>
  <c r="EV57" i="7"/>
  <c r="EK57" i="7"/>
  <c r="EJ57" i="7"/>
  <c r="EI57" i="7"/>
  <c r="EH57" i="7"/>
  <c r="EG57" i="7"/>
  <c r="EF57" i="7"/>
  <c r="EE57" i="7"/>
  <c r="ED57" i="7"/>
  <c r="EC57" i="7"/>
  <c r="EB57" i="7"/>
  <c r="EA57" i="7"/>
  <c r="DZ57" i="7"/>
  <c r="DY57" i="7"/>
  <c r="DX57" i="7"/>
  <c r="DW57" i="7"/>
  <c r="DV57" i="7"/>
  <c r="DU57" i="7"/>
  <c r="DT57" i="7"/>
  <c r="DS57" i="7"/>
  <c r="DR57" i="7"/>
  <c r="DQ57" i="7"/>
  <c r="DP57" i="7"/>
  <c r="DO57" i="7"/>
  <c r="DN57" i="7"/>
  <c r="DM57" i="7"/>
  <c r="DL57" i="7"/>
  <c r="DK57" i="7"/>
  <c r="DJ57" i="7"/>
  <c r="DI57" i="7"/>
  <c r="DH57" i="7"/>
  <c r="DG57" i="7"/>
  <c r="DF57" i="7"/>
  <c r="DE57" i="7"/>
  <c r="DD57" i="7"/>
  <c r="DC57" i="7"/>
  <c r="DB57" i="7"/>
  <c r="DA57" i="7"/>
  <c r="CZ57" i="7"/>
  <c r="CY57" i="7"/>
  <c r="CX57" i="7"/>
  <c r="CW57" i="7"/>
  <c r="CV57" i="7"/>
  <c r="CU57" i="7"/>
  <c r="CT57" i="7"/>
  <c r="CS57" i="7"/>
  <c r="CR57" i="7"/>
  <c r="CQ57" i="7"/>
  <c r="CP57" i="7"/>
  <c r="CO57" i="7"/>
  <c r="CN57" i="7"/>
  <c r="CM57" i="7"/>
  <c r="CL57" i="7"/>
  <c r="BS57" i="7"/>
  <c r="BU57" i="7" s="1"/>
  <c r="BM57" i="7"/>
  <c r="BO57" i="7" s="1"/>
  <c r="BX57" i="7" s="1"/>
  <c r="BY57" i="7" s="1"/>
  <c r="AO57" i="7"/>
  <c r="AN57" i="7"/>
  <c r="FB57" i="7" s="1"/>
  <c r="AJ57" i="7"/>
  <c r="Z57" i="7"/>
  <c r="R57" i="7"/>
  <c r="FI56" i="7"/>
  <c r="FG56" i="7"/>
  <c r="FD56" i="7"/>
  <c r="EX56" i="7"/>
  <c r="EW56" i="7"/>
  <c r="EV56" i="7"/>
  <c r="EK56" i="7"/>
  <c r="EJ56" i="7"/>
  <c r="EI56" i="7"/>
  <c r="EH56" i="7"/>
  <c r="EG56" i="7"/>
  <c r="EF56" i="7"/>
  <c r="EE56" i="7"/>
  <c r="ED56" i="7"/>
  <c r="EC56" i="7"/>
  <c r="EB56" i="7"/>
  <c r="EA56" i="7"/>
  <c r="DZ56" i="7"/>
  <c r="DY56" i="7"/>
  <c r="DX56" i="7"/>
  <c r="DW56" i="7"/>
  <c r="DV56" i="7"/>
  <c r="DU56" i="7"/>
  <c r="DT56" i="7"/>
  <c r="DS56" i="7"/>
  <c r="DR56" i="7"/>
  <c r="DQ56" i="7"/>
  <c r="DP56" i="7"/>
  <c r="DO56" i="7"/>
  <c r="DN56" i="7"/>
  <c r="DM56" i="7"/>
  <c r="DL56" i="7"/>
  <c r="DK56" i="7"/>
  <c r="DJ56" i="7"/>
  <c r="DI56" i="7"/>
  <c r="DH56" i="7"/>
  <c r="DG56" i="7"/>
  <c r="DF56" i="7"/>
  <c r="DE56" i="7"/>
  <c r="DD56" i="7"/>
  <c r="DC56" i="7"/>
  <c r="DB56" i="7"/>
  <c r="DA56" i="7"/>
  <c r="CZ56" i="7"/>
  <c r="CY56" i="7"/>
  <c r="CX56" i="7"/>
  <c r="CW56" i="7"/>
  <c r="CV56" i="7"/>
  <c r="CU56" i="7"/>
  <c r="CT56" i="7"/>
  <c r="CS56" i="7"/>
  <c r="CR56" i="7"/>
  <c r="CQ56" i="7"/>
  <c r="CP56" i="7"/>
  <c r="CO56" i="7"/>
  <c r="CN56" i="7"/>
  <c r="CM56" i="7"/>
  <c r="CL56" i="7"/>
  <c r="BS56" i="7"/>
  <c r="BU56" i="7" s="1"/>
  <c r="BM56" i="7"/>
  <c r="BO56" i="7" s="1"/>
  <c r="AO56" i="7"/>
  <c r="FE56" i="7" s="1"/>
  <c r="AN56" i="7"/>
  <c r="AJ56" i="7"/>
  <c r="Z56" i="7"/>
  <c r="R56" i="7"/>
  <c r="FI55" i="7"/>
  <c r="FG55" i="7"/>
  <c r="FD55" i="7"/>
  <c r="EX55" i="7"/>
  <c r="EW55" i="7"/>
  <c r="EV55" i="7"/>
  <c r="EK55" i="7"/>
  <c r="EJ55" i="7"/>
  <c r="EI55" i="7"/>
  <c r="EH55" i="7"/>
  <c r="EG55" i="7"/>
  <c r="EF55" i="7"/>
  <c r="EE55" i="7"/>
  <c r="ED55" i="7"/>
  <c r="EC55" i="7"/>
  <c r="EB55" i="7"/>
  <c r="EA55" i="7"/>
  <c r="DZ55" i="7"/>
  <c r="DY55" i="7"/>
  <c r="DX55" i="7"/>
  <c r="DW55" i="7"/>
  <c r="DV55" i="7"/>
  <c r="DU55" i="7"/>
  <c r="DT55" i="7"/>
  <c r="DS55" i="7"/>
  <c r="DR55" i="7"/>
  <c r="DQ55" i="7"/>
  <c r="DP55" i="7"/>
  <c r="DO55" i="7"/>
  <c r="DN55" i="7"/>
  <c r="DM55" i="7"/>
  <c r="DL55" i="7"/>
  <c r="DK55" i="7"/>
  <c r="DJ55" i="7"/>
  <c r="DI55" i="7"/>
  <c r="DH55" i="7"/>
  <c r="DG55" i="7"/>
  <c r="DF55" i="7"/>
  <c r="DE55" i="7"/>
  <c r="DD55" i="7"/>
  <c r="DC55" i="7"/>
  <c r="DB55" i="7"/>
  <c r="DA55" i="7"/>
  <c r="CZ55" i="7"/>
  <c r="CY55" i="7"/>
  <c r="CX55" i="7"/>
  <c r="CW55" i="7"/>
  <c r="CV55" i="7"/>
  <c r="CU55" i="7"/>
  <c r="CT55" i="7"/>
  <c r="CS55" i="7"/>
  <c r="CR55" i="7"/>
  <c r="CQ55" i="7"/>
  <c r="CP55" i="7"/>
  <c r="CO55" i="7"/>
  <c r="CN55" i="7"/>
  <c r="CM55" i="7"/>
  <c r="CL55" i="7"/>
  <c r="BS55" i="7"/>
  <c r="BU55" i="7" s="1"/>
  <c r="BM55" i="7"/>
  <c r="BO55" i="7" s="1"/>
  <c r="BX55" i="7" s="1"/>
  <c r="BY55" i="7" s="1"/>
  <c r="AO55" i="7"/>
  <c r="AN55" i="7"/>
  <c r="FB55" i="7" s="1"/>
  <c r="AJ55" i="7"/>
  <c r="Z55" i="7"/>
  <c r="R55" i="7"/>
  <c r="FI54" i="7"/>
  <c r="FG54" i="7"/>
  <c r="FD54" i="7"/>
  <c r="EX54" i="7"/>
  <c r="EW54" i="7"/>
  <c r="EV54" i="7"/>
  <c r="EK54" i="7"/>
  <c r="EJ54" i="7"/>
  <c r="EI54" i="7"/>
  <c r="EH54" i="7"/>
  <c r="EG54" i="7"/>
  <c r="EF54" i="7"/>
  <c r="EE54" i="7"/>
  <c r="ED54" i="7"/>
  <c r="EC54" i="7"/>
  <c r="EB54" i="7"/>
  <c r="EA54" i="7"/>
  <c r="DZ54" i="7"/>
  <c r="DY54" i="7"/>
  <c r="DX54" i="7"/>
  <c r="DW54" i="7"/>
  <c r="DV54" i="7"/>
  <c r="DU54" i="7"/>
  <c r="DT54" i="7"/>
  <c r="DS54" i="7"/>
  <c r="DR54" i="7"/>
  <c r="DQ54" i="7"/>
  <c r="DP54" i="7"/>
  <c r="DO54" i="7"/>
  <c r="DN54" i="7"/>
  <c r="DM54" i="7"/>
  <c r="DL54" i="7"/>
  <c r="DK54" i="7"/>
  <c r="DJ54" i="7"/>
  <c r="DI54" i="7"/>
  <c r="DH54" i="7"/>
  <c r="DG54" i="7"/>
  <c r="DF54" i="7"/>
  <c r="DE54" i="7"/>
  <c r="DD54" i="7"/>
  <c r="DC54" i="7"/>
  <c r="DB54" i="7"/>
  <c r="DA54" i="7"/>
  <c r="CZ54" i="7"/>
  <c r="CY54" i="7"/>
  <c r="CX54" i="7"/>
  <c r="CW54" i="7"/>
  <c r="CV54" i="7"/>
  <c r="CU54" i="7"/>
  <c r="CT54" i="7"/>
  <c r="CS54" i="7"/>
  <c r="CR54" i="7"/>
  <c r="CQ54" i="7"/>
  <c r="CP54" i="7"/>
  <c r="CO54" i="7"/>
  <c r="CN54" i="7"/>
  <c r="CM54" i="7"/>
  <c r="CL54" i="7"/>
  <c r="BS54" i="7"/>
  <c r="BU54" i="7" s="1"/>
  <c r="BM54" i="7"/>
  <c r="BO54" i="7" s="1"/>
  <c r="BX54" i="7" s="1"/>
  <c r="AO54" i="7"/>
  <c r="FE54" i="7" s="1"/>
  <c r="AN54" i="7"/>
  <c r="FB54" i="7" s="1"/>
  <c r="AJ54" i="7"/>
  <c r="Z54" i="7"/>
  <c r="R54" i="7"/>
  <c r="FI53" i="7"/>
  <c r="FG53" i="7"/>
  <c r="FD53" i="7"/>
  <c r="EX53" i="7"/>
  <c r="EW53" i="7"/>
  <c r="EV53" i="7"/>
  <c r="EK53" i="7"/>
  <c r="EJ53" i="7"/>
  <c r="EI53" i="7"/>
  <c r="EH53" i="7"/>
  <c r="EG53" i="7"/>
  <c r="EF53" i="7"/>
  <c r="EE53" i="7"/>
  <c r="ED53" i="7"/>
  <c r="EC53" i="7"/>
  <c r="EB53" i="7"/>
  <c r="EA53" i="7"/>
  <c r="DZ53" i="7"/>
  <c r="DY53" i="7"/>
  <c r="DX53" i="7"/>
  <c r="DW53" i="7"/>
  <c r="DV53" i="7"/>
  <c r="DU53" i="7"/>
  <c r="DT53" i="7"/>
  <c r="DS53" i="7"/>
  <c r="DR53" i="7"/>
  <c r="DQ53" i="7"/>
  <c r="DP53" i="7"/>
  <c r="DO53" i="7"/>
  <c r="DN53" i="7"/>
  <c r="DM53" i="7"/>
  <c r="DL53" i="7"/>
  <c r="DK53" i="7"/>
  <c r="DJ53" i="7"/>
  <c r="DI53" i="7"/>
  <c r="DH53" i="7"/>
  <c r="DG53" i="7"/>
  <c r="DF53" i="7"/>
  <c r="DE53" i="7"/>
  <c r="DD53" i="7"/>
  <c r="DC53" i="7"/>
  <c r="DB53" i="7"/>
  <c r="DA53" i="7"/>
  <c r="CZ53" i="7"/>
  <c r="CY53" i="7"/>
  <c r="CX53" i="7"/>
  <c r="CW53" i="7"/>
  <c r="CV53" i="7"/>
  <c r="CU53" i="7"/>
  <c r="CT53" i="7"/>
  <c r="CS53" i="7"/>
  <c r="CR53" i="7"/>
  <c r="CQ53" i="7"/>
  <c r="CP53" i="7"/>
  <c r="CO53" i="7"/>
  <c r="CN53" i="7"/>
  <c r="CM53" i="7"/>
  <c r="CL53" i="7"/>
  <c r="BS53" i="7"/>
  <c r="BU53" i="7" s="1"/>
  <c r="BM53" i="7"/>
  <c r="BO53" i="7" s="1"/>
  <c r="AO53" i="7"/>
  <c r="FE53" i="7" s="1"/>
  <c r="AN53" i="7"/>
  <c r="AU53" i="7" s="1"/>
  <c r="AJ53" i="7"/>
  <c r="Z53" i="7"/>
  <c r="R53" i="7"/>
  <c r="FI52" i="7"/>
  <c r="FG52" i="7"/>
  <c r="FD52" i="7"/>
  <c r="EX52" i="7"/>
  <c r="EW52" i="7"/>
  <c r="EV52" i="7"/>
  <c r="EK52" i="7"/>
  <c r="EJ52" i="7"/>
  <c r="EI52" i="7"/>
  <c r="EH52" i="7"/>
  <c r="EG52" i="7"/>
  <c r="EF52" i="7"/>
  <c r="EE52" i="7"/>
  <c r="ED52" i="7"/>
  <c r="EC52" i="7"/>
  <c r="EB52" i="7"/>
  <c r="EA52" i="7"/>
  <c r="DZ52" i="7"/>
  <c r="DY52" i="7"/>
  <c r="DX52" i="7"/>
  <c r="DW52" i="7"/>
  <c r="DV52" i="7"/>
  <c r="DU52" i="7"/>
  <c r="DT52" i="7"/>
  <c r="DS52" i="7"/>
  <c r="DR52" i="7"/>
  <c r="DQ52" i="7"/>
  <c r="DP52" i="7"/>
  <c r="DO52" i="7"/>
  <c r="DN52" i="7"/>
  <c r="DM52" i="7"/>
  <c r="DL52" i="7"/>
  <c r="DK52" i="7"/>
  <c r="DJ52" i="7"/>
  <c r="DI52" i="7"/>
  <c r="DH52" i="7"/>
  <c r="DG52" i="7"/>
  <c r="DF52" i="7"/>
  <c r="DE52" i="7"/>
  <c r="DD52" i="7"/>
  <c r="DC52" i="7"/>
  <c r="DB52" i="7"/>
  <c r="DA52" i="7"/>
  <c r="CZ52" i="7"/>
  <c r="CY52" i="7"/>
  <c r="CX52" i="7"/>
  <c r="CW52" i="7"/>
  <c r="CV52" i="7"/>
  <c r="CU52" i="7"/>
  <c r="CT52" i="7"/>
  <c r="CS52" i="7"/>
  <c r="CR52" i="7"/>
  <c r="CQ52" i="7"/>
  <c r="CP52" i="7"/>
  <c r="CO52" i="7"/>
  <c r="CN52" i="7"/>
  <c r="CM52" i="7"/>
  <c r="CL52" i="7"/>
  <c r="BS52" i="7"/>
  <c r="BU52" i="7" s="1"/>
  <c r="BM52" i="7"/>
  <c r="BO52" i="7" s="1"/>
  <c r="BX52" i="7" s="1"/>
  <c r="AO52" i="7"/>
  <c r="FF52" i="7" s="1"/>
  <c r="AN52" i="7"/>
  <c r="FB52" i="7" s="1"/>
  <c r="AJ52" i="7"/>
  <c r="Z52" i="7"/>
  <c r="R52" i="7"/>
  <c r="FI51" i="7"/>
  <c r="FG51" i="7"/>
  <c r="FD51" i="7"/>
  <c r="EX51" i="7"/>
  <c r="EW51" i="7"/>
  <c r="EV51" i="7"/>
  <c r="EK51" i="7"/>
  <c r="EJ51" i="7"/>
  <c r="EI51" i="7"/>
  <c r="EH51" i="7"/>
  <c r="EG51" i="7"/>
  <c r="EF51" i="7"/>
  <c r="EE51" i="7"/>
  <c r="ED51" i="7"/>
  <c r="EC51" i="7"/>
  <c r="EB51" i="7"/>
  <c r="EA51" i="7"/>
  <c r="DZ51" i="7"/>
  <c r="DY51" i="7"/>
  <c r="DX51" i="7"/>
  <c r="DW51" i="7"/>
  <c r="DV51" i="7"/>
  <c r="DU51" i="7"/>
  <c r="DT51" i="7"/>
  <c r="DS51" i="7"/>
  <c r="DR51" i="7"/>
  <c r="DQ51" i="7"/>
  <c r="DP51" i="7"/>
  <c r="DO51" i="7"/>
  <c r="DN51" i="7"/>
  <c r="DM51" i="7"/>
  <c r="DL51" i="7"/>
  <c r="DK51" i="7"/>
  <c r="DJ51" i="7"/>
  <c r="DI51" i="7"/>
  <c r="DH51" i="7"/>
  <c r="DG51" i="7"/>
  <c r="DF51" i="7"/>
  <c r="DE51" i="7"/>
  <c r="DD51" i="7"/>
  <c r="DC51" i="7"/>
  <c r="DB51" i="7"/>
  <c r="DA51" i="7"/>
  <c r="CZ51" i="7"/>
  <c r="CY51" i="7"/>
  <c r="CX51" i="7"/>
  <c r="CW51" i="7"/>
  <c r="CV51" i="7"/>
  <c r="CU51" i="7"/>
  <c r="CT51" i="7"/>
  <c r="CS51" i="7"/>
  <c r="CR51" i="7"/>
  <c r="CQ51" i="7"/>
  <c r="CP51" i="7"/>
  <c r="CO51" i="7"/>
  <c r="CN51" i="7"/>
  <c r="CM51" i="7"/>
  <c r="CL51" i="7"/>
  <c r="BS51" i="7"/>
  <c r="BU51" i="7" s="1"/>
  <c r="BM51" i="7"/>
  <c r="BO51" i="7" s="1"/>
  <c r="AO51" i="7"/>
  <c r="AN51" i="7"/>
  <c r="AJ51" i="7"/>
  <c r="Z51" i="7"/>
  <c r="R51" i="7"/>
  <c r="FI50" i="7"/>
  <c r="FG50" i="7"/>
  <c r="FD50" i="7"/>
  <c r="EX50" i="7"/>
  <c r="EW50" i="7"/>
  <c r="EV50" i="7"/>
  <c r="EK50" i="7"/>
  <c r="EJ50" i="7"/>
  <c r="EI50" i="7"/>
  <c r="EH50" i="7"/>
  <c r="EG50" i="7"/>
  <c r="EF50" i="7"/>
  <c r="EE50" i="7"/>
  <c r="ED50" i="7"/>
  <c r="EC50" i="7"/>
  <c r="EB50" i="7"/>
  <c r="EA50" i="7"/>
  <c r="DZ50" i="7"/>
  <c r="DY50" i="7"/>
  <c r="DX50" i="7"/>
  <c r="DW50" i="7"/>
  <c r="DV50" i="7"/>
  <c r="DU50" i="7"/>
  <c r="DT50" i="7"/>
  <c r="DS50" i="7"/>
  <c r="DR50" i="7"/>
  <c r="DQ50" i="7"/>
  <c r="DP50" i="7"/>
  <c r="DO50" i="7"/>
  <c r="DN50" i="7"/>
  <c r="DM50" i="7"/>
  <c r="DL50" i="7"/>
  <c r="DK50" i="7"/>
  <c r="DJ50" i="7"/>
  <c r="DI50" i="7"/>
  <c r="DH50" i="7"/>
  <c r="DG50" i="7"/>
  <c r="DF50" i="7"/>
  <c r="DE50" i="7"/>
  <c r="DD50" i="7"/>
  <c r="DC50" i="7"/>
  <c r="DB50" i="7"/>
  <c r="DA50" i="7"/>
  <c r="CZ50" i="7"/>
  <c r="CY50" i="7"/>
  <c r="CX50" i="7"/>
  <c r="CW50" i="7"/>
  <c r="CV50" i="7"/>
  <c r="CU50" i="7"/>
  <c r="CT50" i="7"/>
  <c r="CS50" i="7"/>
  <c r="CR50" i="7"/>
  <c r="CQ50" i="7"/>
  <c r="CP50" i="7"/>
  <c r="CO50" i="7"/>
  <c r="CN50" i="7"/>
  <c r="CM50" i="7"/>
  <c r="CL50" i="7"/>
  <c r="BS50" i="7"/>
  <c r="BU50" i="7" s="1"/>
  <c r="BM50" i="7"/>
  <c r="BO50" i="7" s="1"/>
  <c r="BX50" i="7" s="1"/>
  <c r="BY50" i="7" s="1"/>
  <c r="AO50" i="7"/>
  <c r="FF50" i="7" s="1"/>
  <c r="AN50" i="7"/>
  <c r="AU50" i="7" s="1"/>
  <c r="AJ50" i="7"/>
  <c r="Z50" i="7"/>
  <c r="R50" i="7"/>
  <c r="FI49" i="7"/>
  <c r="FG49" i="7"/>
  <c r="FD49" i="7"/>
  <c r="EX49" i="7"/>
  <c r="EW49" i="7"/>
  <c r="EV49" i="7"/>
  <c r="EK49" i="7"/>
  <c r="EJ49" i="7"/>
  <c r="EI49" i="7"/>
  <c r="EH49" i="7"/>
  <c r="EG49" i="7"/>
  <c r="EF49" i="7"/>
  <c r="EE49" i="7"/>
  <c r="ED49" i="7"/>
  <c r="EC49" i="7"/>
  <c r="EB49" i="7"/>
  <c r="EA49" i="7"/>
  <c r="DZ49" i="7"/>
  <c r="DY49" i="7"/>
  <c r="DX49" i="7"/>
  <c r="DW49" i="7"/>
  <c r="DV49" i="7"/>
  <c r="DU49" i="7"/>
  <c r="DT49" i="7"/>
  <c r="DS49" i="7"/>
  <c r="DR49" i="7"/>
  <c r="DQ49" i="7"/>
  <c r="DP49" i="7"/>
  <c r="DO49" i="7"/>
  <c r="DN49" i="7"/>
  <c r="DM49" i="7"/>
  <c r="DL49" i="7"/>
  <c r="DK49" i="7"/>
  <c r="DJ49" i="7"/>
  <c r="DI49" i="7"/>
  <c r="DH49" i="7"/>
  <c r="DG49" i="7"/>
  <c r="DF49" i="7"/>
  <c r="DE49" i="7"/>
  <c r="DD49" i="7"/>
  <c r="DC49" i="7"/>
  <c r="DB49" i="7"/>
  <c r="DA49" i="7"/>
  <c r="CZ49" i="7"/>
  <c r="CY49" i="7"/>
  <c r="CX49" i="7"/>
  <c r="CW49" i="7"/>
  <c r="CV49" i="7"/>
  <c r="CU49" i="7"/>
  <c r="CT49" i="7"/>
  <c r="CS49" i="7"/>
  <c r="CR49" i="7"/>
  <c r="CQ49" i="7"/>
  <c r="CP49" i="7"/>
  <c r="CO49" i="7"/>
  <c r="CN49" i="7"/>
  <c r="CM49" i="7"/>
  <c r="CL49" i="7"/>
  <c r="BS49" i="7"/>
  <c r="BU49" i="7" s="1"/>
  <c r="BM49" i="7"/>
  <c r="BO49" i="7" s="1"/>
  <c r="AO49" i="7"/>
  <c r="FE49" i="7" s="1"/>
  <c r="AN49" i="7"/>
  <c r="AJ49" i="7"/>
  <c r="Z49" i="7"/>
  <c r="R49" i="7"/>
  <c r="FI48" i="7"/>
  <c r="FG48" i="7"/>
  <c r="FD48" i="7"/>
  <c r="EX48" i="7"/>
  <c r="EW48" i="7"/>
  <c r="EV48" i="7"/>
  <c r="EK48" i="7"/>
  <c r="EJ48" i="7"/>
  <c r="EI48" i="7"/>
  <c r="EH48" i="7"/>
  <c r="EG48" i="7"/>
  <c r="EF48" i="7"/>
  <c r="EE48" i="7"/>
  <c r="ED48" i="7"/>
  <c r="EC48" i="7"/>
  <c r="EB48" i="7"/>
  <c r="EA48" i="7"/>
  <c r="DZ48" i="7"/>
  <c r="DY48" i="7"/>
  <c r="DX48" i="7"/>
  <c r="DW48" i="7"/>
  <c r="DV48" i="7"/>
  <c r="DU48" i="7"/>
  <c r="DT48" i="7"/>
  <c r="DS48" i="7"/>
  <c r="DR48" i="7"/>
  <c r="DQ48" i="7"/>
  <c r="DP48" i="7"/>
  <c r="DO48" i="7"/>
  <c r="DN48" i="7"/>
  <c r="DM48" i="7"/>
  <c r="DL48" i="7"/>
  <c r="DK48" i="7"/>
  <c r="DJ48" i="7"/>
  <c r="DI48" i="7"/>
  <c r="DH48" i="7"/>
  <c r="DG48" i="7"/>
  <c r="DF48" i="7"/>
  <c r="DE48" i="7"/>
  <c r="DD48" i="7"/>
  <c r="DC48" i="7"/>
  <c r="DB48" i="7"/>
  <c r="DA48" i="7"/>
  <c r="CZ48" i="7"/>
  <c r="CY48" i="7"/>
  <c r="CX48" i="7"/>
  <c r="CW48" i="7"/>
  <c r="CV48" i="7"/>
  <c r="CU48" i="7"/>
  <c r="CT48" i="7"/>
  <c r="CS48" i="7"/>
  <c r="CR48" i="7"/>
  <c r="CQ48" i="7"/>
  <c r="CP48" i="7"/>
  <c r="CO48" i="7"/>
  <c r="CN48" i="7"/>
  <c r="CM48" i="7"/>
  <c r="CL48" i="7"/>
  <c r="BS48" i="7"/>
  <c r="BU48" i="7" s="1"/>
  <c r="BM48" i="7"/>
  <c r="BO48" i="7" s="1"/>
  <c r="BX48" i="7" s="1"/>
  <c r="BY48" i="7" s="1"/>
  <c r="AO48" i="7"/>
  <c r="FF48" i="7" s="1"/>
  <c r="AN48" i="7"/>
  <c r="AJ48" i="7"/>
  <c r="Z48" i="7"/>
  <c r="R48" i="7"/>
  <c r="FI47" i="7"/>
  <c r="FG47" i="7"/>
  <c r="FD47" i="7"/>
  <c r="EX47" i="7"/>
  <c r="EW47" i="7"/>
  <c r="EV47" i="7"/>
  <c r="EK47" i="7"/>
  <c r="EJ47" i="7"/>
  <c r="EI47" i="7"/>
  <c r="EH47" i="7"/>
  <c r="EG47" i="7"/>
  <c r="EF47" i="7"/>
  <c r="EE47" i="7"/>
  <c r="ED47" i="7"/>
  <c r="EC47" i="7"/>
  <c r="EB47" i="7"/>
  <c r="EA47" i="7"/>
  <c r="DZ47" i="7"/>
  <c r="DY47" i="7"/>
  <c r="DX47" i="7"/>
  <c r="DW47" i="7"/>
  <c r="DV47" i="7"/>
  <c r="DU47" i="7"/>
  <c r="DT47" i="7"/>
  <c r="DS47" i="7"/>
  <c r="DR47" i="7"/>
  <c r="DQ47" i="7"/>
  <c r="DP47" i="7"/>
  <c r="DO47" i="7"/>
  <c r="DN47" i="7"/>
  <c r="DM47" i="7"/>
  <c r="DL47" i="7"/>
  <c r="DK47" i="7"/>
  <c r="DJ47" i="7"/>
  <c r="DI47" i="7"/>
  <c r="DH47" i="7"/>
  <c r="DG47" i="7"/>
  <c r="DF47" i="7"/>
  <c r="DE47" i="7"/>
  <c r="DD47" i="7"/>
  <c r="DC47" i="7"/>
  <c r="DB47" i="7"/>
  <c r="DA47" i="7"/>
  <c r="CZ47" i="7"/>
  <c r="CY47" i="7"/>
  <c r="CX47" i="7"/>
  <c r="CW47" i="7"/>
  <c r="CV47" i="7"/>
  <c r="CU47" i="7"/>
  <c r="CT47" i="7"/>
  <c r="CS47" i="7"/>
  <c r="CR47" i="7"/>
  <c r="CQ47" i="7"/>
  <c r="CP47" i="7"/>
  <c r="CO47" i="7"/>
  <c r="CN47" i="7"/>
  <c r="CM47" i="7"/>
  <c r="CL47" i="7"/>
  <c r="BS47" i="7"/>
  <c r="BU47" i="7" s="1"/>
  <c r="BM47" i="7"/>
  <c r="BO47" i="7" s="1"/>
  <c r="AO47" i="7"/>
  <c r="FE47" i="7" s="1"/>
  <c r="AN47" i="7"/>
  <c r="AJ47" i="7"/>
  <c r="Z47" i="7"/>
  <c r="R47" i="7"/>
  <c r="FI46" i="7"/>
  <c r="FG46" i="7"/>
  <c r="FF46" i="7"/>
  <c r="FD46" i="7"/>
  <c r="EX46" i="7"/>
  <c r="EW46" i="7"/>
  <c r="EV46" i="7"/>
  <c r="EK46" i="7"/>
  <c r="EJ46" i="7"/>
  <c r="EI46" i="7"/>
  <c r="EH46" i="7"/>
  <c r="EG46" i="7"/>
  <c r="EF46" i="7"/>
  <c r="EE46" i="7"/>
  <c r="ED46" i="7"/>
  <c r="EC46" i="7"/>
  <c r="EB46" i="7"/>
  <c r="EA46" i="7"/>
  <c r="DZ46" i="7"/>
  <c r="DY46" i="7"/>
  <c r="DX46" i="7"/>
  <c r="DW46" i="7"/>
  <c r="DV46" i="7"/>
  <c r="DU46" i="7"/>
  <c r="DT46" i="7"/>
  <c r="DS46" i="7"/>
  <c r="DR46" i="7"/>
  <c r="DQ46" i="7"/>
  <c r="DP46" i="7"/>
  <c r="DO46" i="7"/>
  <c r="DN46" i="7"/>
  <c r="DM46" i="7"/>
  <c r="DL46" i="7"/>
  <c r="DK46" i="7"/>
  <c r="DJ46" i="7"/>
  <c r="DI46" i="7"/>
  <c r="DH46" i="7"/>
  <c r="DG46" i="7"/>
  <c r="DF46" i="7"/>
  <c r="DE46" i="7"/>
  <c r="DD46" i="7"/>
  <c r="DC46" i="7"/>
  <c r="DB46" i="7"/>
  <c r="DA46" i="7"/>
  <c r="CZ46" i="7"/>
  <c r="CY46" i="7"/>
  <c r="CX46" i="7"/>
  <c r="CW46" i="7"/>
  <c r="CV46" i="7"/>
  <c r="CU46" i="7"/>
  <c r="CT46" i="7"/>
  <c r="CS46" i="7"/>
  <c r="CR46" i="7"/>
  <c r="CQ46" i="7"/>
  <c r="CP46" i="7"/>
  <c r="CO46" i="7"/>
  <c r="CN46" i="7"/>
  <c r="CM46" i="7"/>
  <c r="CL46" i="7"/>
  <c r="BS46" i="7"/>
  <c r="BU46" i="7" s="1"/>
  <c r="BM46" i="7"/>
  <c r="BO46" i="7" s="1"/>
  <c r="BK46" i="7"/>
  <c r="AO46" i="7"/>
  <c r="FE46" i="7" s="1"/>
  <c r="AN46" i="7"/>
  <c r="AJ46" i="7"/>
  <c r="Z46" i="7"/>
  <c r="R46" i="7"/>
  <c r="FI45" i="7"/>
  <c r="FG45" i="7"/>
  <c r="FF45" i="7"/>
  <c r="FD45" i="7"/>
  <c r="EX45" i="7"/>
  <c r="EW45" i="7"/>
  <c r="EV45" i="7"/>
  <c r="EK45" i="7"/>
  <c r="EJ45" i="7"/>
  <c r="EI45" i="7"/>
  <c r="EH45" i="7"/>
  <c r="EG45" i="7"/>
  <c r="EF45" i="7"/>
  <c r="EE45" i="7"/>
  <c r="ED45" i="7"/>
  <c r="EC45" i="7"/>
  <c r="EB45" i="7"/>
  <c r="EA45" i="7"/>
  <c r="DZ45" i="7"/>
  <c r="DY45" i="7"/>
  <c r="DX45" i="7"/>
  <c r="DW45" i="7"/>
  <c r="DV45" i="7"/>
  <c r="DU45" i="7"/>
  <c r="DT45" i="7"/>
  <c r="DS45" i="7"/>
  <c r="DR45" i="7"/>
  <c r="DQ45" i="7"/>
  <c r="DP45" i="7"/>
  <c r="DO45" i="7"/>
  <c r="DN45" i="7"/>
  <c r="DM45" i="7"/>
  <c r="DL45" i="7"/>
  <c r="DK45" i="7"/>
  <c r="DJ45" i="7"/>
  <c r="DI45" i="7"/>
  <c r="DH45" i="7"/>
  <c r="DG45" i="7"/>
  <c r="DF45" i="7"/>
  <c r="DE45" i="7"/>
  <c r="DD45" i="7"/>
  <c r="DC45" i="7"/>
  <c r="DB45" i="7"/>
  <c r="DA45" i="7"/>
  <c r="CZ45" i="7"/>
  <c r="CY45" i="7"/>
  <c r="CX45" i="7"/>
  <c r="CW45" i="7"/>
  <c r="CV45" i="7"/>
  <c r="CU45" i="7"/>
  <c r="CT45" i="7"/>
  <c r="CS45" i="7"/>
  <c r="CR45" i="7"/>
  <c r="CQ45" i="7"/>
  <c r="CP45" i="7"/>
  <c r="CO45" i="7"/>
  <c r="CN45" i="7"/>
  <c r="CM45" i="7"/>
  <c r="CL45" i="7"/>
  <c r="BS45" i="7"/>
  <c r="BU45" i="7" s="1"/>
  <c r="BK45" i="7"/>
  <c r="BM45" i="7" s="1"/>
  <c r="BO45" i="7" s="1"/>
  <c r="BX45" i="7" s="1"/>
  <c r="AO45" i="7"/>
  <c r="FE45" i="7" s="1"/>
  <c r="AN45" i="7"/>
  <c r="EZ45" i="7" s="1"/>
  <c r="AJ45" i="7"/>
  <c r="Z45" i="7"/>
  <c r="R45" i="7"/>
  <c r="FI44" i="7"/>
  <c r="FG44" i="7"/>
  <c r="FF44" i="7"/>
  <c r="FD44" i="7"/>
  <c r="EX44" i="7"/>
  <c r="EW44" i="7"/>
  <c r="EV44" i="7"/>
  <c r="EK44" i="7"/>
  <c r="EJ44" i="7"/>
  <c r="EI44" i="7"/>
  <c r="EH44" i="7"/>
  <c r="EG44" i="7"/>
  <c r="EF44" i="7"/>
  <c r="EE44" i="7"/>
  <c r="ED44" i="7"/>
  <c r="EC44" i="7"/>
  <c r="EB44" i="7"/>
  <c r="EA44" i="7"/>
  <c r="DZ44" i="7"/>
  <c r="DY44" i="7"/>
  <c r="DX44" i="7"/>
  <c r="DW44" i="7"/>
  <c r="DV44" i="7"/>
  <c r="DU44" i="7"/>
  <c r="DT44" i="7"/>
  <c r="DS44" i="7"/>
  <c r="DR44" i="7"/>
  <c r="DQ44" i="7"/>
  <c r="DP44" i="7"/>
  <c r="DO44" i="7"/>
  <c r="DN44" i="7"/>
  <c r="DM44" i="7"/>
  <c r="DL44" i="7"/>
  <c r="DK44" i="7"/>
  <c r="DJ44" i="7"/>
  <c r="DI44" i="7"/>
  <c r="DH44" i="7"/>
  <c r="DG44" i="7"/>
  <c r="DF44" i="7"/>
  <c r="DE44" i="7"/>
  <c r="DD44" i="7"/>
  <c r="DC44" i="7"/>
  <c r="DB44" i="7"/>
  <c r="DA44" i="7"/>
  <c r="CZ44" i="7"/>
  <c r="CY44" i="7"/>
  <c r="CX44" i="7"/>
  <c r="CW44" i="7"/>
  <c r="CV44" i="7"/>
  <c r="CU44" i="7"/>
  <c r="CT44" i="7"/>
  <c r="CS44" i="7"/>
  <c r="CR44" i="7"/>
  <c r="CQ44" i="7"/>
  <c r="CP44" i="7"/>
  <c r="CO44" i="7"/>
  <c r="CN44" i="7"/>
  <c r="CM44" i="7"/>
  <c r="CL44" i="7"/>
  <c r="BS44" i="7"/>
  <c r="BU44" i="7" s="1"/>
  <c r="BK44" i="7"/>
  <c r="BM44" i="7" s="1"/>
  <c r="BO44" i="7" s="1"/>
  <c r="AO44" i="7"/>
  <c r="FE44" i="7" s="1"/>
  <c r="AN44" i="7"/>
  <c r="FH44" i="7" s="1"/>
  <c r="AJ44" i="7"/>
  <c r="Z44" i="7"/>
  <c r="R44" i="7"/>
  <c r="FI43" i="7"/>
  <c r="FG43" i="7"/>
  <c r="FF43" i="7"/>
  <c r="FD43" i="7"/>
  <c r="EX43" i="7"/>
  <c r="EW43" i="7"/>
  <c r="EV43" i="7"/>
  <c r="EK43" i="7"/>
  <c r="EJ43" i="7"/>
  <c r="EI43" i="7"/>
  <c r="EH43" i="7"/>
  <c r="EG43" i="7"/>
  <c r="EF43" i="7"/>
  <c r="EE43" i="7"/>
  <c r="ED43" i="7"/>
  <c r="EC43" i="7"/>
  <c r="EB43" i="7"/>
  <c r="EA43" i="7"/>
  <c r="DZ43" i="7"/>
  <c r="DY43" i="7"/>
  <c r="DX43" i="7"/>
  <c r="DW43" i="7"/>
  <c r="DV43" i="7"/>
  <c r="DU43" i="7"/>
  <c r="DT43" i="7"/>
  <c r="DS43" i="7"/>
  <c r="DR43" i="7"/>
  <c r="DQ43" i="7"/>
  <c r="DP43" i="7"/>
  <c r="DO43" i="7"/>
  <c r="DN43" i="7"/>
  <c r="DM43" i="7"/>
  <c r="DL43" i="7"/>
  <c r="DK43" i="7"/>
  <c r="DJ43" i="7"/>
  <c r="DI43" i="7"/>
  <c r="DH43" i="7"/>
  <c r="DG43" i="7"/>
  <c r="DF43" i="7"/>
  <c r="DE43" i="7"/>
  <c r="DD43" i="7"/>
  <c r="DC43" i="7"/>
  <c r="DB43" i="7"/>
  <c r="DA43" i="7"/>
  <c r="CZ43" i="7"/>
  <c r="CY43" i="7"/>
  <c r="CX43" i="7"/>
  <c r="CW43" i="7"/>
  <c r="CV43" i="7"/>
  <c r="CU43" i="7"/>
  <c r="CT43" i="7"/>
  <c r="CS43" i="7"/>
  <c r="CR43" i="7"/>
  <c r="CQ43" i="7"/>
  <c r="CP43" i="7"/>
  <c r="CO43" i="7"/>
  <c r="CN43" i="7"/>
  <c r="CM43" i="7"/>
  <c r="CL43" i="7"/>
  <c r="BS43" i="7"/>
  <c r="BU43" i="7" s="1"/>
  <c r="BK43" i="7"/>
  <c r="BM43" i="7" s="1"/>
  <c r="BO43" i="7" s="1"/>
  <c r="AO43" i="7"/>
  <c r="AN43" i="7"/>
  <c r="AJ43" i="7"/>
  <c r="Z43" i="7"/>
  <c r="R43" i="7"/>
  <c r="FI42" i="7"/>
  <c r="FG42" i="7"/>
  <c r="FF42" i="7"/>
  <c r="FD42" i="7"/>
  <c r="EX42" i="7"/>
  <c r="EW42" i="7"/>
  <c r="EV42" i="7"/>
  <c r="EK42" i="7"/>
  <c r="EJ42" i="7"/>
  <c r="EI42" i="7"/>
  <c r="EH42" i="7"/>
  <c r="EG42" i="7"/>
  <c r="EF42" i="7"/>
  <c r="EE42" i="7"/>
  <c r="ED42" i="7"/>
  <c r="EC42" i="7"/>
  <c r="EB42" i="7"/>
  <c r="EA42" i="7"/>
  <c r="DZ42" i="7"/>
  <c r="DY42" i="7"/>
  <c r="DX42" i="7"/>
  <c r="DW42" i="7"/>
  <c r="DV42" i="7"/>
  <c r="DU42" i="7"/>
  <c r="DT42" i="7"/>
  <c r="DS42" i="7"/>
  <c r="DR42" i="7"/>
  <c r="DQ42" i="7"/>
  <c r="DP42" i="7"/>
  <c r="DO42" i="7"/>
  <c r="DN42" i="7"/>
  <c r="DM42" i="7"/>
  <c r="DL42" i="7"/>
  <c r="DK42" i="7"/>
  <c r="DJ42" i="7"/>
  <c r="DI42" i="7"/>
  <c r="DH42" i="7"/>
  <c r="DG42" i="7"/>
  <c r="DF42" i="7"/>
  <c r="DE42" i="7"/>
  <c r="DD42" i="7"/>
  <c r="DC42" i="7"/>
  <c r="DB42" i="7"/>
  <c r="DA42" i="7"/>
  <c r="CZ42" i="7"/>
  <c r="CY42" i="7"/>
  <c r="CX42" i="7"/>
  <c r="CW42" i="7"/>
  <c r="CV42" i="7"/>
  <c r="CU42" i="7"/>
  <c r="CT42" i="7"/>
  <c r="CS42" i="7"/>
  <c r="CR42" i="7"/>
  <c r="CQ42" i="7"/>
  <c r="CP42" i="7"/>
  <c r="CO42" i="7"/>
  <c r="CN42" i="7"/>
  <c r="CM42" i="7"/>
  <c r="CL42" i="7"/>
  <c r="BS42" i="7"/>
  <c r="BU42" i="7" s="1"/>
  <c r="BK42" i="7"/>
  <c r="BM42" i="7" s="1"/>
  <c r="BO42" i="7" s="1"/>
  <c r="AO42" i="7"/>
  <c r="AN42" i="7"/>
  <c r="AJ42" i="7"/>
  <c r="Z42" i="7"/>
  <c r="R42" i="7"/>
  <c r="FI41" i="7"/>
  <c r="FG41" i="7"/>
  <c r="FF41" i="7"/>
  <c r="FD41" i="7"/>
  <c r="EX41" i="7"/>
  <c r="EW41" i="7"/>
  <c r="EV41" i="7"/>
  <c r="EK41" i="7"/>
  <c r="EJ41" i="7"/>
  <c r="EI41" i="7"/>
  <c r="EH41" i="7"/>
  <c r="EG41" i="7"/>
  <c r="EF41" i="7"/>
  <c r="EE41" i="7"/>
  <c r="ED41" i="7"/>
  <c r="EC41" i="7"/>
  <c r="EB41" i="7"/>
  <c r="EA41" i="7"/>
  <c r="DZ41" i="7"/>
  <c r="DY41" i="7"/>
  <c r="DX41" i="7"/>
  <c r="DW41" i="7"/>
  <c r="DV41" i="7"/>
  <c r="DU41" i="7"/>
  <c r="DT41" i="7"/>
  <c r="DS41" i="7"/>
  <c r="DR41" i="7"/>
  <c r="DQ41" i="7"/>
  <c r="DP41" i="7"/>
  <c r="DO41" i="7"/>
  <c r="DN41" i="7"/>
  <c r="DM41" i="7"/>
  <c r="DL41" i="7"/>
  <c r="DK41" i="7"/>
  <c r="DJ41" i="7"/>
  <c r="DI41" i="7"/>
  <c r="DH41" i="7"/>
  <c r="DG41" i="7"/>
  <c r="DF41" i="7"/>
  <c r="DE41" i="7"/>
  <c r="DD41" i="7"/>
  <c r="DC41" i="7"/>
  <c r="DB41" i="7"/>
  <c r="DA41" i="7"/>
  <c r="CZ41" i="7"/>
  <c r="CY41" i="7"/>
  <c r="CX41" i="7"/>
  <c r="CW41" i="7"/>
  <c r="CV41" i="7"/>
  <c r="CU41" i="7"/>
  <c r="CT41" i="7"/>
  <c r="CS41" i="7"/>
  <c r="CR41" i="7"/>
  <c r="CQ41" i="7"/>
  <c r="CP41" i="7"/>
  <c r="CO41" i="7"/>
  <c r="CN41" i="7"/>
  <c r="CM41" i="7"/>
  <c r="CL41" i="7"/>
  <c r="BS41" i="7"/>
  <c r="BU41" i="7" s="1"/>
  <c r="BK41" i="7"/>
  <c r="BM41" i="7" s="1"/>
  <c r="BO41" i="7" s="1"/>
  <c r="BX41" i="7" s="1"/>
  <c r="AO41" i="7"/>
  <c r="FE41" i="7" s="1"/>
  <c r="AN41" i="7"/>
  <c r="EZ41" i="7" s="1"/>
  <c r="AJ41" i="7"/>
  <c r="Z41" i="7"/>
  <c r="R41" i="7"/>
  <c r="FI40" i="7"/>
  <c r="FG40" i="7"/>
  <c r="FF40" i="7"/>
  <c r="FD40" i="7"/>
  <c r="EX40" i="7"/>
  <c r="EW40" i="7"/>
  <c r="EV40" i="7"/>
  <c r="EK40" i="7"/>
  <c r="EJ40" i="7"/>
  <c r="EI40" i="7"/>
  <c r="EH40" i="7"/>
  <c r="EG40" i="7"/>
  <c r="EF40" i="7"/>
  <c r="EE40" i="7"/>
  <c r="ED40" i="7"/>
  <c r="EC40" i="7"/>
  <c r="EB40" i="7"/>
  <c r="EA40" i="7"/>
  <c r="DZ40" i="7"/>
  <c r="DY40" i="7"/>
  <c r="DX40" i="7"/>
  <c r="DW40" i="7"/>
  <c r="DV40" i="7"/>
  <c r="DU40" i="7"/>
  <c r="DT40" i="7"/>
  <c r="DS40" i="7"/>
  <c r="DR40" i="7"/>
  <c r="DQ40" i="7"/>
  <c r="DP40" i="7"/>
  <c r="DO40" i="7"/>
  <c r="DN40" i="7"/>
  <c r="DM40" i="7"/>
  <c r="DL40" i="7"/>
  <c r="DK40" i="7"/>
  <c r="DJ40" i="7"/>
  <c r="DI40" i="7"/>
  <c r="DH40" i="7"/>
  <c r="DG40" i="7"/>
  <c r="DF40" i="7"/>
  <c r="DE40" i="7"/>
  <c r="DD40" i="7"/>
  <c r="DC40" i="7"/>
  <c r="DB40" i="7"/>
  <c r="DA40" i="7"/>
  <c r="CZ40" i="7"/>
  <c r="CY40" i="7"/>
  <c r="CX40" i="7"/>
  <c r="CW40" i="7"/>
  <c r="CV40" i="7"/>
  <c r="CU40" i="7"/>
  <c r="CT40" i="7"/>
  <c r="CS40" i="7"/>
  <c r="CR40" i="7"/>
  <c r="CQ40" i="7"/>
  <c r="CP40" i="7"/>
  <c r="CO40" i="7"/>
  <c r="CN40" i="7"/>
  <c r="CM40" i="7"/>
  <c r="CL40" i="7"/>
  <c r="BS40" i="7"/>
  <c r="BU40" i="7" s="1"/>
  <c r="BK40" i="7"/>
  <c r="BM40" i="7" s="1"/>
  <c r="BO40" i="7" s="1"/>
  <c r="AO40" i="7"/>
  <c r="FE40" i="7" s="1"/>
  <c r="AN40" i="7"/>
  <c r="FH40" i="7" s="1"/>
  <c r="AJ40" i="7"/>
  <c r="Z40" i="7"/>
  <c r="R40" i="7"/>
  <c r="FI39" i="7"/>
  <c r="FG39" i="7"/>
  <c r="FF39" i="7"/>
  <c r="FD39" i="7"/>
  <c r="EX39" i="7"/>
  <c r="EW39" i="7"/>
  <c r="EV39" i="7"/>
  <c r="EK39" i="7"/>
  <c r="EJ39" i="7"/>
  <c r="EI39" i="7"/>
  <c r="EH39" i="7"/>
  <c r="EG39" i="7"/>
  <c r="EF39" i="7"/>
  <c r="EE39" i="7"/>
  <c r="ED39" i="7"/>
  <c r="EC39" i="7"/>
  <c r="EB39" i="7"/>
  <c r="EA39" i="7"/>
  <c r="DZ39" i="7"/>
  <c r="DY39" i="7"/>
  <c r="DX39" i="7"/>
  <c r="DW39" i="7"/>
  <c r="DV39" i="7"/>
  <c r="DU39" i="7"/>
  <c r="DT39" i="7"/>
  <c r="DS39" i="7"/>
  <c r="DR39" i="7"/>
  <c r="DQ39" i="7"/>
  <c r="DP39" i="7"/>
  <c r="DO39" i="7"/>
  <c r="DN39" i="7"/>
  <c r="DM39" i="7"/>
  <c r="DL39" i="7"/>
  <c r="DK39" i="7"/>
  <c r="DJ39" i="7"/>
  <c r="DI39" i="7"/>
  <c r="DH39" i="7"/>
  <c r="DG39" i="7"/>
  <c r="DF39" i="7"/>
  <c r="DE39" i="7"/>
  <c r="DD39" i="7"/>
  <c r="DC39" i="7"/>
  <c r="DB39" i="7"/>
  <c r="DA39" i="7"/>
  <c r="CZ39" i="7"/>
  <c r="CY39" i="7"/>
  <c r="CX39" i="7"/>
  <c r="CW39" i="7"/>
  <c r="CV39" i="7"/>
  <c r="CU39" i="7"/>
  <c r="CT39" i="7"/>
  <c r="CS39" i="7"/>
  <c r="CR39" i="7"/>
  <c r="CQ39" i="7"/>
  <c r="CP39" i="7"/>
  <c r="CO39" i="7"/>
  <c r="CN39" i="7"/>
  <c r="CM39" i="7"/>
  <c r="CL39" i="7"/>
  <c r="BS39" i="7"/>
  <c r="BU39" i="7" s="1"/>
  <c r="BK39" i="7"/>
  <c r="BM39" i="7" s="1"/>
  <c r="BO39" i="7" s="1"/>
  <c r="AO39" i="7"/>
  <c r="AN39" i="7"/>
  <c r="EZ39" i="7" s="1"/>
  <c r="AJ39" i="7"/>
  <c r="Z39" i="7"/>
  <c r="R39" i="7"/>
  <c r="FI38" i="7"/>
  <c r="FG38" i="7"/>
  <c r="FF38" i="7"/>
  <c r="FD38" i="7"/>
  <c r="EX38" i="7"/>
  <c r="EW38" i="7"/>
  <c r="EV38" i="7"/>
  <c r="EK38" i="7"/>
  <c r="EJ38" i="7"/>
  <c r="EI38" i="7"/>
  <c r="EH38" i="7"/>
  <c r="EG38" i="7"/>
  <c r="EF38" i="7"/>
  <c r="EE38" i="7"/>
  <c r="ED38" i="7"/>
  <c r="EC38" i="7"/>
  <c r="EB38" i="7"/>
  <c r="EA38" i="7"/>
  <c r="DZ38" i="7"/>
  <c r="DY38" i="7"/>
  <c r="DX38" i="7"/>
  <c r="DW38" i="7"/>
  <c r="DV38" i="7"/>
  <c r="DU38" i="7"/>
  <c r="DT38" i="7"/>
  <c r="DS38" i="7"/>
  <c r="DR38" i="7"/>
  <c r="DQ38" i="7"/>
  <c r="DP38" i="7"/>
  <c r="DO38" i="7"/>
  <c r="DN38" i="7"/>
  <c r="DM38" i="7"/>
  <c r="DL38" i="7"/>
  <c r="DK38" i="7"/>
  <c r="DJ38" i="7"/>
  <c r="DI38" i="7"/>
  <c r="DH38" i="7"/>
  <c r="DG38" i="7"/>
  <c r="DF38" i="7"/>
  <c r="DE38" i="7"/>
  <c r="DD38" i="7"/>
  <c r="DC38" i="7"/>
  <c r="DB38" i="7"/>
  <c r="DA38" i="7"/>
  <c r="CZ38" i="7"/>
  <c r="CY38" i="7"/>
  <c r="CX38" i="7"/>
  <c r="CW38" i="7"/>
  <c r="CV38" i="7"/>
  <c r="CU38" i="7"/>
  <c r="CT38" i="7"/>
  <c r="CS38" i="7"/>
  <c r="CR38" i="7"/>
  <c r="CQ38" i="7"/>
  <c r="CP38" i="7"/>
  <c r="CO38" i="7"/>
  <c r="CN38" i="7"/>
  <c r="CM38" i="7"/>
  <c r="CL38" i="7"/>
  <c r="BS38" i="7"/>
  <c r="BU38" i="7" s="1"/>
  <c r="BK38" i="7"/>
  <c r="BM38" i="7" s="1"/>
  <c r="BO38" i="7" s="1"/>
  <c r="BX38" i="7" s="1"/>
  <c r="BY38" i="7" s="1"/>
  <c r="AO38" i="7"/>
  <c r="AN38" i="7"/>
  <c r="AJ38" i="7"/>
  <c r="Z38" i="7"/>
  <c r="R38" i="7"/>
  <c r="FI37" i="7"/>
  <c r="FG37" i="7"/>
  <c r="FF37" i="7"/>
  <c r="FD37" i="7"/>
  <c r="EX37" i="7"/>
  <c r="EW37" i="7"/>
  <c r="EV37" i="7"/>
  <c r="EK37" i="7"/>
  <c r="EJ37" i="7"/>
  <c r="EI37" i="7"/>
  <c r="EH37" i="7"/>
  <c r="EG37" i="7"/>
  <c r="EF37" i="7"/>
  <c r="EE37" i="7"/>
  <c r="ED37" i="7"/>
  <c r="EC37" i="7"/>
  <c r="EB37" i="7"/>
  <c r="EA37" i="7"/>
  <c r="DZ37" i="7"/>
  <c r="DY37" i="7"/>
  <c r="DX37" i="7"/>
  <c r="DW37" i="7"/>
  <c r="DV37" i="7"/>
  <c r="DU37" i="7"/>
  <c r="DT37" i="7"/>
  <c r="DS37" i="7"/>
  <c r="DR37" i="7"/>
  <c r="DQ37" i="7"/>
  <c r="DP37" i="7"/>
  <c r="DO37" i="7"/>
  <c r="DN37" i="7"/>
  <c r="DM37" i="7"/>
  <c r="DL37" i="7"/>
  <c r="DK37" i="7"/>
  <c r="DJ37" i="7"/>
  <c r="DI37" i="7"/>
  <c r="DH37" i="7"/>
  <c r="DG37" i="7"/>
  <c r="DF37" i="7"/>
  <c r="DE37" i="7"/>
  <c r="DD37" i="7"/>
  <c r="DC37" i="7"/>
  <c r="DB37" i="7"/>
  <c r="DA37" i="7"/>
  <c r="CZ37" i="7"/>
  <c r="CY37" i="7"/>
  <c r="CX37" i="7"/>
  <c r="CW37" i="7"/>
  <c r="CV37" i="7"/>
  <c r="CU37" i="7"/>
  <c r="CT37" i="7"/>
  <c r="CS37" i="7"/>
  <c r="CR37" i="7"/>
  <c r="CQ37" i="7"/>
  <c r="CP37" i="7"/>
  <c r="CO37" i="7"/>
  <c r="CN37" i="7"/>
  <c r="CM37" i="7"/>
  <c r="CL37" i="7"/>
  <c r="BS37" i="7"/>
  <c r="BU37" i="7" s="1"/>
  <c r="BK37" i="7"/>
  <c r="BM37" i="7" s="1"/>
  <c r="BO37" i="7" s="1"/>
  <c r="BX37" i="7" s="1"/>
  <c r="AO37" i="7"/>
  <c r="FE37" i="7" s="1"/>
  <c r="AN37" i="7"/>
  <c r="AJ37" i="7"/>
  <c r="Z37" i="7"/>
  <c r="R37" i="7"/>
  <c r="FI36" i="7"/>
  <c r="FG36" i="7"/>
  <c r="FF36" i="7"/>
  <c r="FD36" i="7"/>
  <c r="EX36" i="7"/>
  <c r="EW36" i="7"/>
  <c r="EV36" i="7"/>
  <c r="EK36" i="7"/>
  <c r="EJ36" i="7"/>
  <c r="EI36" i="7"/>
  <c r="EH36" i="7"/>
  <c r="EG36" i="7"/>
  <c r="EF36" i="7"/>
  <c r="EE36" i="7"/>
  <c r="ED36" i="7"/>
  <c r="EC36" i="7"/>
  <c r="EB36" i="7"/>
  <c r="EA36" i="7"/>
  <c r="DZ36" i="7"/>
  <c r="DY36" i="7"/>
  <c r="DX36" i="7"/>
  <c r="DW36" i="7"/>
  <c r="DV36" i="7"/>
  <c r="DU36" i="7"/>
  <c r="DT36" i="7"/>
  <c r="DS36" i="7"/>
  <c r="DR36" i="7"/>
  <c r="DQ36" i="7"/>
  <c r="DP36" i="7"/>
  <c r="DO36" i="7"/>
  <c r="DN36" i="7"/>
  <c r="DM36" i="7"/>
  <c r="DL36" i="7"/>
  <c r="DK36" i="7"/>
  <c r="DJ36" i="7"/>
  <c r="DI36" i="7"/>
  <c r="DH36" i="7"/>
  <c r="DG36" i="7"/>
  <c r="DF36" i="7"/>
  <c r="DE36" i="7"/>
  <c r="DD36" i="7"/>
  <c r="DC36" i="7"/>
  <c r="DB36" i="7"/>
  <c r="DA36" i="7"/>
  <c r="CZ36" i="7"/>
  <c r="CY36" i="7"/>
  <c r="CX36" i="7"/>
  <c r="CW36" i="7"/>
  <c r="CV36" i="7"/>
  <c r="CU36" i="7"/>
  <c r="CT36" i="7"/>
  <c r="CS36" i="7"/>
  <c r="CR36" i="7"/>
  <c r="CQ36" i="7"/>
  <c r="CP36" i="7"/>
  <c r="CO36" i="7"/>
  <c r="CN36" i="7"/>
  <c r="CM36" i="7"/>
  <c r="CL36" i="7"/>
  <c r="BS36" i="7"/>
  <c r="BU36" i="7" s="1"/>
  <c r="BK36" i="7"/>
  <c r="BM36" i="7" s="1"/>
  <c r="BO36" i="7" s="1"/>
  <c r="AO36" i="7"/>
  <c r="AN36" i="7"/>
  <c r="FH36" i="7" s="1"/>
  <c r="AJ36" i="7"/>
  <c r="Z36" i="7"/>
  <c r="R36" i="7"/>
  <c r="FI35" i="7"/>
  <c r="FG35" i="7"/>
  <c r="FF35" i="7"/>
  <c r="FD35" i="7"/>
  <c r="EX35" i="7"/>
  <c r="EW35" i="7"/>
  <c r="EV35" i="7"/>
  <c r="EK35" i="7"/>
  <c r="EJ35" i="7"/>
  <c r="EI35" i="7"/>
  <c r="EH35" i="7"/>
  <c r="EG35" i="7"/>
  <c r="EF35" i="7"/>
  <c r="EE35" i="7"/>
  <c r="ED35" i="7"/>
  <c r="EC35" i="7"/>
  <c r="EB35" i="7"/>
  <c r="EA35" i="7"/>
  <c r="DZ35" i="7"/>
  <c r="DY35" i="7"/>
  <c r="DX35" i="7"/>
  <c r="DW35" i="7"/>
  <c r="DV35" i="7"/>
  <c r="DU35" i="7"/>
  <c r="DT35" i="7"/>
  <c r="DS35" i="7"/>
  <c r="DR35" i="7"/>
  <c r="DQ35" i="7"/>
  <c r="DP35" i="7"/>
  <c r="DO35" i="7"/>
  <c r="DN35" i="7"/>
  <c r="DM35" i="7"/>
  <c r="DL35" i="7"/>
  <c r="DK35" i="7"/>
  <c r="DJ35" i="7"/>
  <c r="DI35" i="7"/>
  <c r="DH35" i="7"/>
  <c r="DG35" i="7"/>
  <c r="DF35" i="7"/>
  <c r="DE35" i="7"/>
  <c r="DD35" i="7"/>
  <c r="DC35" i="7"/>
  <c r="DB35" i="7"/>
  <c r="DA35" i="7"/>
  <c r="CZ35" i="7"/>
  <c r="CY35" i="7"/>
  <c r="CX35" i="7"/>
  <c r="CW35" i="7"/>
  <c r="CV35" i="7"/>
  <c r="CU35" i="7"/>
  <c r="CT35" i="7"/>
  <c r="CS35" i="7"/>
  <c r="CR35" i="7"/>
  <c r="CQ35" i="7"/>
  <c r="CP35" i="7"/>
  <c r="CO35" i="7"/>
  <c r="CN35" i="7"/>
  <c r="CM35" i="7"/>
  <c r="CL35" i="7"/>
  <c r="BS35" i="7"/>
  <c r="BU35" i="7" s="1"/>
  <c r="BK35" i="7"/>
  <c r="BM35" i="7" s="1"/>
  <c r="BO35" i="7" s="1"/>
  <c r="BX35" i="7" s="1"/>
  <c r="AO35" i="7"/>
  <c r="AN35" i="7"/>
  <c r="FH35" i="7" s="1"/>
  <c r="AJ35" i="7"/>
  <c r="Z35" i="7"/>
  <c r="R35" i="7"/>
  <c r="FI34" i="7"/>
  <c r="FG34" i="7"/>
  <c r="FF34" i="7"/>
  <c r="FD34" i="7"/>
  <c r="EX34" i="7"/>
  <c r="EW34" i="7"/>
  <c r="EV34" i="7"/>
  <c r="EK34" i="7"/>
  <c r="EJ34" i="7"/>
  <c r="EI34" i="7"/>
  <c r="EH34" i="7"/>
  <c r="EG34" i="7"/>
  <c r="EF34" i="7"/>
  <c r="EE34" i="7"/>
  <c r="ED34" i="7"/>
  <c r="EC34" i="7"/>
  <c r="EB34" i="7"/>
  <c r="EA34" i="7"/>
  <c r="DZ34" i="7"/>
  <c r="DY34" i="7"/>
  <c r="DX34" i="7"/>
  <c r="DW34" i="7"/>
  <c r="DV34" i="7"/>
  <c r="DU34" i="7"/>
  <c r="DT34" i="7"/>
  <c r="DS34" i="7"/>
  <c r="DR34" i="7"/>
  <c r="DQ34" i="7"/>
  <c r="DP34" i="7"/>
  <c r="DO34" i="7"/>
  <c r="DN34" i="7"/>
  <c r="DM34" i="7"/>
  <c r="DL34" i="7"/>
  <c r="DK34" i="7"/>
  <c r="DJ34" i="7"/>
  <c r="DI34" i="7"/>
  <c r="DH34" i="7"/>
  <c r="DG34" i="7"/>
  <c r="DF34" i="7"/>
  <c r="DE34" i="7"/>
  <c r="DD34" i="7"/>
  <c r="DC34" i="7"/>
  <c r="DB34" i="7"/>
  <c r="DA34" i="7"/>
  <c r="CZ34" i="7"/>
  <c r="CY34" i="7"/>
  <c r="CX34" i="7"/>
  <c r="CW34" i="7"/>
  <c r="CV34" i="7"/>
  <c r="CU34" i="7"/>
  <c r="CT34" i="7"/>
  <c r="CS34" i="7"/>
  <c r="CR34" i="7"/>
  <c r="CQ34" i="7"/>
  <c r="CP34" i="7"/>
  <c r="CO34" i="7"/>
  <c r="CN34" i="7"/>
  <c r="CM34" i="7"/>
  <c r="CL34" i="7"/>
  <c r="BS34" i="7"/>
  <c r="BU34" i="7" s="1"/>
  <c r="BK34" i="7"/>
  <c r="BM34" i="7" s="1"/>
  <c r="BO34" i="7" s="1"/>
  <c r="AO34" i="7"/>
  <c r="EY34" i="7" s="1"/>
  <c r="AN34" i="7"/>
  <c r="AJ34" i="7"/>
  <c r="Z34" i="7"/>
  <c r="R34" i="7"/>
  <c r="FI33" i="7"/>
  <c r="FG33" i="7"/>
  <c r="FF33" i="7"/>
  <c r="FD33" i="7"/>
  <c r="EX33" i="7"/>
  <c r="EW33" i="7"/>
  <c r="EV33" i="7"/>
  <c r="EK33" i="7"/>
  <c r="EJ33" i="7"/>
  <c r="EI33" i="7"/>
  <c r="EH33" i="7"/>
  <c r="EG33" i="7"/>
  <c r="EF33" i="7"/>
  <c r="EE33" i="7"/>
  <c r="ED33" i="7"/>
  <c r="EC33" i="7"/>
  <c r="EB33" i="7"/>
  <c r="EA33" i="7"/>
  <c r="DZ33" i="7"/>
  <c r="DY33" i="7"/>
  <c r="DX33" i="7"/>
  <c r="DW33" i="7"/>
  <c r="DV33" i="7"/>
  <c r="DU33" i="7"/>
  <c r="DT33" i="7"/>
  <c r="DS33" i="7"/>
  <c r="DR33" i="7"/>
  <c r="DQ33" i="7"/>
  <c r="DP33" i="7"/>
  <c r="DO33" i="7"/>
  <c r="DN33" i="7"/>
  <c r="DM33" i="7"/>
  <c r="DL33" i="7"/>
  <c r="DK33" i="7"/>
  <c r="DJ33" i="7"/>
  <c r="DI33" i="7"/>
  <c r="DH33" i="7"/>
  <c r="DG33" i="7"/>
  <c r="DF33" i="7"/>
  <c r="DE33" i="7"/>
  <c r="DD33" i="7"/>
  <c r="DC33" i="7"/>
  <c r="DB33" i="7"/>
  <c r="DA33" i="7"/>
  <c r="CZ33" i="7"/>
  <c r="CY33" i="7"/>
  <c r="CX33" i="7"/>
  <c r="CW33" i="7"/>
  <c r="CV33" i="7"/>
  <c r="CU33" i="7"/>
  <c r="CT33" i="7"/>
  <c r="CS33" i="7"/>
  <c r="CR33" i="7"/>
  <c r="CQ33" i="7"/>
  <c r="CP33" i="7"/>
  <c r="CO33" i="7"/>
  <c r="CN33" i="7"/>
  <c r="CM33" i="7"/>
  <c r="CL33" i="7"/>
  <c r="BS33" i="7"/>
  <c r="BU33" i="7" s="1"/>
  <c r="BK33" i="7"/>
  <c r="BM33" i="7" s="1"/>
  <c r="BO33" i="7" s="1"/>
  <c r="BX33" i="7" s="1"/>
  <c r="AO33" i="7"/>
  <c r="EY33" i="7" s="1"/>
  <c r="AN33" i="7"/>
  <c r="FB33" i="7" s="1"/>
  <c r="AJ33" i="7"/>
  <c r="Z33" i="7"/>
  <c r="R33" i="7"/>
  <c r="FI32" i="7"/>
  <c r="FG32" i="7"/>
  <c r="FD32" i="7"/>
  <c r="EX32" i="7"/>
  <c r="EW32" i="7"/>
  <c r="EV32" i="7"/>
  <c r="EK32" i="7"/>
  <c r="EJ32" i="7"/>
  <c r="EI32" i="7"/>
  <c r="EH32" i="7"/>
  <c r="EG32" i="7"/>
  <c r="EF32" i="7"/>
  <c r="EE32" i="7"/>
  <c r="ED32" i="7"/>
  <c r="EC32" i="7"/>
  <c r="EB32" i="7"/>
  <c r="EA32" i="7"/>
  <c r="DZ32" i="7"/>
  <c r="DY32" i="7"/>
  <c r="DX32" i="7"/>
  <c r="DW32" i="7"/>
  <c r="DV32" i="7"/>
  <c r="DU32" i="7"/>
  <c r="DT32" i="7"/>
  <c r="DS32" i="7"/>
  <c r="DR32" i="7"/>
  <c r="DQ32" i="7"/>
  <c r="DP32" i="7"/>
  <c r="DO32" i="7"/>
  <c r="DN32" i="7"/>
  <c r="DM32" i="7"/>
  <c r="DL32" i="7"/>
  <c r="DK32" i="7"/>
  <c r="DJ32" i="7"/>
  <c r="DI32" i="7"/>
  <c r="DH32" i="7"/>
  <c r="DG32" i="7"/>
  <c r="DF32" i="7"/>
  <c r="DE32" i="7"/>
  <c r="DD32" i="7"/>
  <c r="DC32" i="7"/>
  <c r="DB32" i="7"/>
  <c r="DA32" i="7"/>
  <c r="CZ32" i="7"/>
  <c r="CY32" i="7"/>
  <c r="CX32" i="7"/>
  <c r="CW32" i="7"/>
  <c r="CV32" i="7"/>
  <c r="CU32" i="7"/>
  <c r="CT32" i="7"/>
  <c r="CS32" i="7"/>
  <c r="CR32" i="7"/>
  <c r="CQ32" i="7"/>
  <c r="CP32" i="7"/>
  <c r="CO32" i="7"/>
  <c r="CN32" i="7"/>
  <c r="CM32" i="7"/>
  <c r="CL32" i="7"/>
  <c r="BS32" i="7"/>
  <c r="BU32" i="7" s="1"/>
  <c r="AO32" i="7"/>
  <c r="FE32" i="7" s="1"/>
  <c r="AN32" i="7"/>
  <c r="AJ32" i="7"/>
  <c r="Z32" i="7"/>
  <c r="R32" i="7"/>
  <c r="FI31" i="7"/>
  <c r="FG31" i="7"/>
  <c r="FD31" i="7"/>
  <c r="EX31" i="7"/>
  <c r="EW31" i="7"/>
  <c r="EV31" i="7"/>
  <c r="EK31" i="7"/>
  <c r="EJ31" i="7"/>
  <c r="EI31" i="7"/>
  <c r="EH31" i="7"/>
  <c r="EG31" i="7"/>
  <c r="EF31" i="7"/>
  <c r="EE31" i="7"/>
  <c r="ED31" i="7"/>
  <c r="EC31" i="7"/>
  <c r="EB31" i="7"/>
  <c r="EA31" i="7"/>
  <c r="DZ31" i="7"/>
  <c r="DY31" i="7"/>
  <c r="DX31" i="7"/>
  <c r="DW31" i="7"/>
  <c r="DV31" i="7"/>
  <c r="DU31" i="7"/>
  <c r="DT31" i="7"/>
  <c r="DS31" i="7"/>
  <c r="DR31" i="7"/>
  <c r="DQ31" i="7"/>
  <c r="DP31" i="7"/>
  <c r="DO31" i="7"/>
  <c r="DN31" i="7"/>
  <c r="DM31" i="7"/>
  <c r="DL31" i="7"/>
  <c r="DK31" i="7"/>
  <c r="DJ31" i="7"/>
  <c r="DI31" i="7"/>
  <c r="DH31" i="7"/>
  <c r="DG31" i="7"/>
  <c r="DF31" i="7"/>
  <c r="DE31" i="7"/>
  <c r="DD31" i="7"/>
  <c r="DC31" i="7"/>
  <c r="DB31" i="7"/>
  <c r="DA31" i="7"/>
  <c r="CZ31" i="7"/>
  <c r="CY31" i="7"/>
  <c r="CX31" i="7"/>
  <c r="CW31" i="7"/>
  <c r="CV31" i="7"/>
  <c r="CU31" i="7"/>
  <c r="CT31" i="7"/>
  <c r="CS31" i="7"/>
  <c r="CR31" i="7"/>
  <c r="CQ31" i="7"/>
  <c r="CP31" i="7"/>
  <c r="CO31" i="7"/>
  <c r="CN31" i="7"/>
  <c r="CM31" i="7"/>
  <c r="CL31" i="7"/>
  <c r="BS31" i="7"/>
  <c r="BU31" i="7" s="1"/>
  <c r="AO31" i="7"/>
  <c r="FE31" i="7" s="1"/>
  <c r="AN31" i="7"/>
  <c r="FH31" i="7" s="1"/>
  <c r="AJ31" i="7"/>
  <c r="Z31" i="7"/>
  <c r="R31" i="7"/>
  <c r="FI30" i="7"/>
  <c r="FG30" i="7"/>
  <c r="FF30" i="7"/>
  <c r="FD30" i="7"/>
  <c r="EX30" i="7"/>
  <c r="EW30" i="7"/>
  <c r="EV30" i="7"/>
  <c r="EK30" i="7"/>
  <c r="EJ30" i="7"/>
  <c r="EI30" i="7"/>
  <c r="EH30" i="7"/>
  <c r="EG30" i="7"/>
  <c r="EF30" i="7"/>
  <c r="EE30" i="7"/>
  <c r="ED30" i="7"/>
  <c r="EC30" i="7"/>
  <c r="EB30" i="7"/>
  <c r="EA30" i="7"/>
  <c r="DZ30" i="7"/>
  <c r="DY30" i="7"/>
  <c r="DX30" i="7"/>
  <c r="DW30" i="7"/>
  <c r="DV30" i="7"/>
  <c r="DU30" i="7"/>
  <c r="DT30" i="7"/>
  <c r="DS30" i="7"/>
  <c r="DR30" i="7"/>
  <c r="DQ30" i="7"/>
  <c r="DP30" i="7"/>
  <c r="DO30" i="7"/>
  <c r="DN30" i="7"/>
  <c r="DM30" i="7"/>
  <c r="DL30" i="7"/>
  <c r="DK30" i="7"/>
  <c r="DJ30" i="7"/>
  <c r="DI30" i="7"/>
  <c r="DH30" i="7"/>
  <c r="DG30" i="7"/>
  <c r="DF30" i="7"/>
  <c r="DE30" i="7"/>
  <c r="DD30" i="7"/>
  <c r="DC30" i="7"/>
  <c r="DB30" i="7"/>
  <c r="DA30" i="7"/>
  <c r="CZ30" i="7"/>
  <c r="CY30" i="7"/>
  <c r="CX30" i="7"/>
  <c r="CW30" i="7"/>
  <c r="CV30" i="7"/>
  <c r="CU30" i="7"/>
  <c r="CT30" i="7"/>
  <c r="CS30" i="7"/>
  <c r="CR30" i="7"/>
  <c r="CQ30" i="7"/>
  <c r="CP30" i="7"/>
  <c r="CO30" i="7"/>
  <c r="CN30" i="7"/>
  <c r="CM30" i="7"/>
  <c r="CL30" i="7"/>
  <c r="BS30" i="7"/>
  <c r="BU30" i="7" s="1"/>
  <c r="BK30" i="7"/>
  <c r="BM30" i="7" s="1"/>
  <c r="BO30" i="7" s="1"/>
  <c r="BX30" i="7" s="1"/>
  <c r="AO30" i="7"/>
  <c r="EY30" i="7" s="1"/>
  <c r="AN30" i="7"/>
  <c r="FB30" i="7" s="1"/>
  <c r="AJ30" i="7"/>
  <c r="Z30" i="7"/>
  <c r="R30" i="7"/>
  <c r="FI29" i="7"/>
  <c r="FG29" i="7"/>
  <c r="FF29" i="7"/>
  <c r="FD29" i="7"/>
  <c r="EX29" i="7"/>
  <c r="EW29" i="7"/>
  <c r="EV29" i="7"/>
  <c r="EK29" i="7"/>
  <c r="EJ29" i="7"/>
  <c r="EI29" i="7"/>
  <c r="EH29" i="7"/>
  <c r="EG29" i="7"/>
  <c r="EF29" i="7"/>
  <c r="EE29" i="7"/>
  <c r="ED29" i="7"/>
  <c r="EC29" i="7"/>
  <c r="EB29" i="7"/>
  <c r="EA29" i="7"/>
  <c r="DZ29" i="7"/>
  <c r="DY29" i="7"/>
  <c r="DX29" i="7"/>
  <c r="DW29" i="7"/>
  <c r="DV29" i="7"/>
  <c r="DU29" i="7"/>
  <c r="DT29" i="7"/>
  <c r="DS29" i="7"/>
  <c r="DR29" i="7"/>
  <c r="DQ29" i="7"/>
  <c r="DP29" i="7"/>
  <c r="DO29" i="7"/>
  <c r="DN29" i="7"/>
  <c r="DM29" i="7"/>
  <c r="DL29" i="7"/>
  <c r="DK29" i="7"/>
  <c r="DJ29" i="7"/>
  <c r="DI29" i="7"/>
  <c r="DH29" i="7"/>
  <c r="DG29" i="7"/>
  <c r="DF29" i="7"/>
  <c r="DE29" i="7"/>
  <c r="DD29" i="7"/>
  <c r="DC29" i="7"/>
  <c r="DB29" i="7"/>
  <c r="DA29" i="7"/>
  <c r="CZ29" i="7"/>
  <c r="CY29" i="7"/>
  <c r="CX29" i="7"/>
  <c r="CW29" i="7"/>
  <c r="CV29" i="7"/>
  <c r="CU29" i="7"/>
  <c r="CT29" i="7"/>
  <c r="CS29" i="7"/>
  <c r="CR29" i="7"/>
  <c r="CQ29" i="7"/>
  <c r="CP29" i="7"/>
  <c r="CO29" i="7"/>
  <c r="CN29" i="7"/>
  <c r="CM29" i="7"/>
  <c r="CL29" i="7"/>
  <c r="BS29" i="7"/>
  <c r="BU29" i="7" s="1"/>
  <c r="BK29" i="7"/>
  <c r="BM29" i="7" s="1"/>
  <c r="BO29" i="7" s="1"/>
  <c r="AO29" i="7"/>
  <c r="FE29" i="7" s="1"/>
  <c r="AN29" i="7"/>
  <c r="FH29" i="7" s="1"/>
  <c r="AJ29" i="7"/>
  <c r="Z29" i="7"/>
  <c r="R29" i="7"/>
  <c r="FI28" i="7"/>
  <c r="FG28" i="7"/>
  <c r="FF28" i="7"/>
  <c r="FD28" i="7"/>
  <c r="EX28" i="7"/>
  <c r="EW28" i="7"/>
  <c r="EV28" i="7"/>
  <c r="EK28" i="7"/>
  <c r="EJ28" i="7"/>
  <c r="EI28" i="7"/>
  <c r="EH28" i="7"/>
  <c r="EG28" i="7"/>
  <c r="EF28" i="7"/>
  <c r="EE28" i="7"/>
  <c r="ED28" i="7"/>
  <c r="EC28" i="7"/>
  <c r="EB28" i="7"/>
  <c r="EA28" i="7"/>
  <c r="DZ28" i="7"/>
  <c r="DY28" i="7"/>
  <c r="DX28" i="7"/>
  <c r="DW28" i="7"/>
  <c r="DV28" i="7"/>
  <c r="DU28" i="7"/>
  <c r="DT28" i="7"/>
  <c r="DS28" i="7"/>
  <c r="DR28" i="7"/>
  <c r="DQ28" i="7"/>
  <c r="DP28" i="7"/>
  <c r="DO28" i="7"/>
  <c r="DN28" i="7"/>
  <c r="DM28" i="7"/>
  <c r="DL28" i="7"/>
  <c r="DK28" i="7"/>
  <c r="DJ28" i="7"/>
  <c r="DI28" i="7"/>
  <c r="DH28" i="7"/>
  <c r="DG28" i="7"/>
  <c r="DF28" i="7"/>
  <c r="DE28" i="7"/>
  <c r="DD28" i="7"/>
  <c r="DC28" i="7"/>
  <c r="DB28" i="7"/>
  <c r="DA28" i="7"/>
  <c r="CZ28" i="7"/>
  <c r="CY28" i="7"/>
  <c r="CX28" i="7"/>
  <c r="CW28" i="7"/>
  <c r="CV28" i="7"/>
  <c r="CU28" i="7"/>
  <c r="CT28" i="7"/>
  <c r="CS28" i="7"/>
  <c r="CR28" i="7"/>
  <c r="CQ28" i="7"/>
  <c r="CP28" i="7"/>
  <c r="CO28" i="7"/>
  <c r="CN28" i="7"/>
  <c r="CM28" i="7"/>
  <c r="CL28" i="7"/>
  <c r="BS28" i="7"/>
  <c r="BU28" i="7" s="1"/>
  <c r="BK28" i="7"/>
  <c r="BM28" i="7" s="1"/>
  <c r="BO28" i="7" s="1"/>
  <c r="AO28" i="7"/>
  <c r="FA28" i="7" s="1"/>
  <c r="AN28" i="7"/>
  <c r="AJ28" i="7"/>
  <c r="Z28" i="7"/>
  <c r="R28" i="7"/>
  <c r="FI27" i="7"/>
  <c r="FG27" i="7"/>
  <c r="FF27" i="7"/>
  <c r="FD27" i="7"/>
  <c r="EX27" i="7"/>
  <c r="EW27" i="7"/>
  <c r="EV27" i="7"/>
  <c r="EK27" i="7"/>
  <c r="EJ27" i="7"/>
  <c r="EI27" i="7"/>
  <c r="EH27" i="7"/>
  <c r="EG27" i="7"/>
  <c r="EF27" i="7"/>
  <c r="EE27" i="7"/>
  <c r="ED27" i="7"/>
  <c r="EC27" i="7"/>
  <c r="EB27" i="7"/>
  <c r="EA27" i="7"/>
  <c r="DZ27" i="7"/>
  <c r="DY27" i="7"/>
  <c r="DX27" i="7"/>
  <c r="DW27" i="7"/>
  <c r="DV27" i="7"/>
  <c r="DU27" i="7"/>
  <c r="DT27" i="7"/>
  <c r="DS27" i="7"/>
  <c r="DR27" i="7"/>
  <c r="DQ27" i="7"/>
  <c r="DP27" i="7"/>
  <c r="DO27" i="7"/>
  <c r="DN27" i="7"/>
  <c r="DM27" i="7"/>
  <c r="DL27" i="7"/>
  <c r="DK27" i="7"/>
  <c r="DJ27" i="7"/>
  <c r="DI27" i="7"/>
  <c r="DH27" i="7"/>
  <c r="DG27" i="7"/>
  <c r="DF27" i="7"/>
  <c r="DE27" i="7"/>
  <c r="DD27" i="7"/>
  <c r="DC27" i="7"/>
  <c r="DB27" i="7"/>
  <c r="DA27" i="7"/>
  <c r="CZ27" i="7"/>
  <c r="CY27" i="7"/>
  <c r="CX27" i="7"/>
  <c r="CW27" i="7"/>
  <c r="CV27" i="7"/>
  <c r="CU27" i="7"/>
  <c r="CT27" i="7"/>
  <c r="CS27" i="7"/>
  <c r="CR27" i="7"/>
  <c r="CQ27" i="7"/>
  <c r="CP27" i="7"/>
  <c r="CO27" i="7"/>
  <c r="CN27" i="7"/>
  <c r="CM27" i="7"/>
  <c r="CL27" i="7"/>
  <c r="BS27" i="7"/>
  <c r="BU27" i="7" s="1"/>
  <c r="BK27" i="7"/>
  <c r="BM27" i="7" s="1"/>
  <c r="BO27" i="7" s="1"/>
  <c r="BX27" i="7" s="1"/>
  <c r="AO27" i="7"/>
  <c r="FE27" i="7" s="1"/>
  <c r="AN27" i="7"/>
  <c r="FH27" i="7" s="1"/>
  <c r="AJ27" i="7"/>
  <c r="Z27" i="7"/>
  <c r="R27" i="7"/>
  <c r="FI26" i="7"/>
  <c r="FG26" i="7"/>
  <c r="FF26" i="7"/>
  <c r="FD26" i="7"/>
  <c r="EX26" i="7"/>
  <c r="EW26" i="7"/>
  <c r="EV26" i="7"/>
  <c r="EK26" i="7"/>
  <c r="EJ26" i="7"/>
  <c r="EI26" i="7"/>
  <c r="EH26" i="7"/>
  <c r="EG26" i="7"/>
  <c r="EF26" i="7"/>
  <c r="EE26" i="7"/>
  <c r="ED26" i="7"/>
  <c r="EC26" i="7"/>
  <c r="EB26" i="7"/>
  <c r="EA26" i="7"/>
  <c r="DZ26" i="7"/>
  <c r="DY26" i="7"/>
  <c r="DX26" i="7"/>
  <c r="DW26" i="7"/>
  <c r="DV26" i="7"/>
  <c r="DU26" i="7"/>
  <c r="DT26" i="7"/>
  <c r="DS26" i="7"/>
  <c r="DR26" i="7"/>
  <c r="DQ26" i="7"/>
  <c r="DP26" i="7"/>
  <c r="DO26" i="7"/>
  <c r="DN26" i="7"/>
  <c r="DM26" i="7"/>
  <c r="DL26" i="7"/>
  <c r="DK26" i="7"/>
  <c r="DJ26" i="7"/>
  <c r="DI26" i="7"/>
  <c r="DH26" i="7"/>
  <c r="DG26" i="7"/>
  <c r="DF26" i="7"/>
  <c r="DE26" i="7"/>
  <c r="DD26" i="7"/>
  <c r="DC26" i="7"/>
  <c r="DB26" i="7"/>
  <c r="DA26" i="7"/>
  <c r="CZ26" i="7"/>
  <c r="CY26" i="7"/>
  <c r="CX26" i="7"/>
  <c r="CW26" i="7"/>
  <c r="CV26" i="7"/>
  <c r="CU26" i="7"/>
  <c r="CT26" i="7"/>
  <c r="CS26" i="7"/>
  <c r="CR26" i="7"/>
  <c r="CQ26" i="7"/>
  <c r="CP26" i="7"/>
  <c r="CO26" i="7"/>
  <c r="CN26" i="7"/>
  <c r="CM26" i="7"/>
  <c r="CL26" i="7"/>
  <c r="BS26" i="7"/>
  <c r="BU26" i="7" s="1"/>
  <c r="BK26" i="7"/>
  <c r="BM26" i="7" s="1"/>
  <c r="BO26" i="7" s="1"/>
  <c r="BX26" i="7" s="1"/>
  <c r="AO26" i="7"/>
  <c r="EY26" i="7" s="1"/>
  <c r="AN26" i="7"/>
  <c r="FB26" i="7" s="1"/>
  <c r="AJ26" i="7"/>
  <c r="Z26" i="7"/>
  <c r="R26" i="7"/>
  <c r="FI25" i="7"/>
  <c r="FG25" i="7"/>
  <c r="FD25" i="7"/>
  <c r="EX25" i="7"/>
  <c r="EW25" i="7"/>
  <c r="EV25" i="7"/>
  <c r="EK25" i="7"/>
  <c r="EJ25" i="7"/>
  <c r="EI25" i="7"/>
  <c r="EH25" i="7"/>
  <c r="EG25" i="7"/>
  <c r="EF25" i="7"/>
  <c r="EE25" i="7"/>
  <c r="ED25" i="7"/>
  <c r="EC25" i="7"/>
  <c r="EB25" i="7"/>
  <c r="EA25" i="7"/>
  <c r="DZ25" i="7"/>
  <c r="DY25" i="7"/>
  <c r="DX25" i="7"/>
  <c r="DW25" i="7"/>
  <c r="DV25" i="7"/>
  <c r="DU25" i="7"/>
  <c r="DT25" i="7"/>
  <c r="DS25" i="7"/>
  <c r="DR25" i="7"/>
  <c r="DQ25" i="7"/>
  <c r="DP25" i="7"/>
  <c r="DO25" i="7"/>
  <c r="DN25" i="7"/>
  <c r="DM25" i="7"/>
  <c r="DL25" i="7"/>
  <c r="DK25" i="7"/>
  <c r="DJ25" i="7"/>
  <c r="DI25" i="7"/>
  <c r="DH25" i="7"/>
  <c r="DG25" i="7"/>
  <c r="DF25" i="7"/>
  <c r="DE25" i="7"/>
  <c r="DD25" i="7"/>
  <c r="DC25" i="7"/>
  <c r="DB25" i="7"/>
  <c r="DA25" i="7"/>
  <c r="CZ25" i="7"/>
  <c r="CY25" i="7"/>
  <c r="CX25" i="7"/>
  <c r="CW25" i="7"/>
  <c r="CV25" i="7"/>
  <c r="CU25" i="7"/>
  <c r="CT25" i="7"/>
  <c r="CS25" i="7"/>
  <c r="CR25" i="7"/>
  <c r="CQ25" i="7"/>
  <c r="CP25" i="7"/>
  <c r="CO25" i="7"/>
  <c r="CN25" i="7"/>
  <c r="CM25" i="7"/>
  <c r="CL25" i="7"/>
  <c r="BS25" i="7"/>
  <c r="BU25" i="7" s="1"/>
  <c r="AO25" i="7"/>
  <c r="BK25" i="7" s="1"/>
  <c r="BM25" i="7" s="1"/>
  <c r="BO25" i="7" s="1"/>
  <c r="AN25" i="7"/>
  <c r="FB25" i="7" s="1"/>
  <c r="AJ25" i="7"/>
  <c r="Z25" i="7"/>
  <c r="R25" i="7"/>
  <c r="FI24" i="7"/>
  <c r="FG24" i="7"/>
  <c r="FD24" i="7"/>
  <c r="EX24" i="7"/>
  <c r="EW24" i="7"/>
  <c r="EV24" i="7"/>
  <c r="EK24" i="7"/>
  <c r="EJ24" i="7"/>
  <c r="EI24" i="7"/>
  <c r="EH24" i="7"/>
  <c r="EG24" i="7"/>
  <c r="EF24" i="7"/>
  <c r="EE24" i="7"/>
  <c r="ED24" i="7"/>
  <c r="EC24" i="7"/>
  <c r="EB24" i="7"/>
  <c r="EA24" i="7"/>
  <c r="DZ24" i="7"/>
  <c r="DY24" i="7"/>
  <c r="DX24" i="7"/>
  <c r="DW24" i="7"/>
  <c r="DV24" i="7"/>
  <c r="DU24" i="7"/>
  <c r="DT24" i="7"/>
  <c r="DS24" i="7"/>
  <c r="DR24" i="7"/>
  <c r="DQ24" i="7"/>
  <c r="DP24" i="7"/>
  <c r="DO24" i="7"/>
  <c r="DN24" i="7"/>
  <c r="DM24" i="7"/>
  <c r="DL24" i="7"/>
  <c r="DK24" i="7"/>
  <c r="DJ24" i="7"/>
  <c r="DI24" i="7"/>
  <c r="DH24" i="7"/>
  <c r="DG24" i="7"/>
  <c r="DF24" i="7"/>
  <c r="DE24" i="7"/>
  <c r="DD24" i="7"/>
  <c r="DC24" i="7"/>
  <c r="DB24" i="7"/>
  <c r="DA24" i="7"/>
  <c r="CZ24" i="7"/>
  <c r="CY24" i="7"/>
  <c r="CX24" i="7"/>
  <c r="CW24" i="7"/>
  <c r="CV24" i="7"/>
  <c r="CU24" i="7"/>
  <c r="CT24" i="7"/>
  <c r="CS24" i="7"/>
  <c r="CR24" i="7"/>
  <c r="CQ24" i="7"/>
  <c r="CP24" i="7"/>
  <c r="CO24" i="7"/>
  <c r="CN24" i="7"/>
  <c r="CM24" i="7"/>
  <c r="CL24" i="7"/>
  <c r="BS24" i="7"/>
  <c r="BU24" i="7" s="1"/>
  <c r="AO24" i="7"/>
  <c r="AN24" i="7"/>
  <c r="FB24" i="7" s="1"/>
  <c r="AJ24" i="7"/>
  <c r="Z24" i="7"/>
  <c r="R24" i="7"/>
  <c r="FI23" i="7"/>
  <c r="FG23" i="7"/>
  <c r="FD23" i="7"/>
  <c r="EX23" i="7"/>
  <c r="EW23" i="7"/>
  <c r="EV23" i="7"/>
  <c r="EK23" i="7"/>
  <c r="EJ23" i="7"/>
  <c r="EI23" i="7"/>
  <c r="EH23" i="7"/>
  <c r="EG23" i="7"/>
  <c r="EF23" i="7"/>
  <c r="EE23" i="7"/>
  <c r="ED23" i="7"/>
  <c r="EC23" i="7"/>
  <c r="EB23" i="7"/>
  <c r="EA23" i="7"/>
  <c r="DZ23" i="7"/>
  <c r="DY23" i="7"/>
  <c r="DX23" i="7"/>
  <c r="DW23" i="7"/>
  <c r="DV23" i="7"/>
  <c r="DU23" i="7"/>
  <c r="DT23" i="7"/>
  <c r="DS23" i="7"/>
  <c r="DR23" i="7"/>
  <c r="DQ23" i="7"/>
  <c r="DP23" i="7"/>
  <c r="DO23" i="7"/>
  <c r="DN23" i="7"/>
  <c r="DM23" i="7"/>
  <c r="DL23" i="7"/>
  <c r="DK23" i="7"/>
  <c r="DJ23" i="7"/>
  <c r="DI23" i="7"/>
  <c r="DH23" i="7"/>
  <c r="DG23" i="7"/>
  <c r="DF23" i="7"/>
  <c r="DE23" i="7"/>
  <c r="DD23" i="7"/>
  <c r="DC23" i="7"/>
  <c r="DB23" i="7"/>
  <c r="DA23" i="7"/>
  <c r="CZ23" i="7"/>
  <c r="CY23" i="7"/>
  <c r="CX23" i="7"/>
  <c r="CW23" i="7"/>
  <c r="CV23" i="7"/>
  <c r="CU23" i="7"/>
  <c r="CT23" i="7"/>
  <c r="CS23" i="7"/>
  <c r="CR23" i="7"/>
  <c r="CQ23" i="7"/>
  <c r="CP23" i="7"/>
  <c r="CO23" i="7"/>
  <c r="CN23" i="7"/>
  <c r="CM23" i="7"/>
  <c r="CL23" i="7"/>
  <c r="BS23" i="7"/>
  <c r="BU23" i="7" s="1"/>
  <c r="AO23" i="7"/>
  <c r="FE23" i="7" s="1"/>
  <c r="AN23" i="7"/>
  <c r="AJ23" i="7"/>
  <c r="Z23" i="7"/>
  <c r="R23" i="7"/>
  <c r="FI22" i="7"/>
  <c r="FG22" i="7"/>
  <c r="FD22" i="7"/>
  <c r="EX22" i="7"/>
  <c r="EW22" i="7"/>
  <c r="EV22" i="7"/>
  <c r="EK22" i="7"/>
  <c r="EJ22" i="7"/>
  <c r="EI22" i="7"/>
  <c r="EH22" i="7"/>
  <c r="EG22" i="7"/>
  <c r="EF22" i="7"/>
  <c r="EE22" i="7"/>
  <c r="ED22" i="7"/>
  <c r="EC22" i="7"/>
  <c r="EB22" i="7"/>
  <c r="EA22" i="7"/>
  <c r="DZ22" i="7"/>
  <c r="DY22" i="7"/>
  <c r="DX22" i="7"/>
  <c r="DW22" i="7"/>
  <c r="DV22" i="7"/>
  <c r="DU22" i="7"/>
  <c r="DT22" i="7"/>
  <c r="DS22" i="7"/>
  <c r="DR22" i="7"/>
  <c r="DQ22" i="7"/>
  <c r="DP22" i="7"/>
  <c r="DO22" i="7"/>
  <c r="DN22" i="7"/>
  <c r="DM22" i="7"/>
  <c r="DL22" i="7"/>
  <c r="DK22" i="7"/>
  <c r="DJ22" i="7"/>
  <c r="DI22" i="7"/>
  <c r="DH22" i="7"/>
  <c r="DG22" i="7"/>
  <c r="DF22" i="7"/>
  <c r="DE22" i="7"/>
  <c r="DD22" i="7"/>
  <c r="DC22" i="7"/>
  <c r="DB22" i="7"/>
  <c r="DA22" i="7"/>
  <c r="CZ22" i="7"/>
  <c r="CY22" i="7"/>
  <c r="CX22" i="7"/>
  <c r="CW22" i="7"/>
  <c r="CV22" i="7"/>
  <c r="CU22" i="7"/>
  <c r="CT22" i="7"/>
  <c r="CS22" i="7"/>
  <c r="CR22" i="7"/>
  <c r="CQ22" i="7"/>
  <c r="CP22" i="7"/>
  <c r="CO22" i="7"/>
  <c r="CN22" i="7"/>
  <c r="CM22" i="7"/>
  <c r="CL22" i="7"/>
  <c r="BS22" i="7"/>
  <c r="BU22" i="7" s="1"/>
  <c r="AO22" i="7"/>
  <c r="EY22" i="7" s="1"/>
  <c r="AN22" i="7"/>
  <c r="AU22" i="7" s="1"/>
  <c r="AJ22" i="7"/>
  <c r="Z22" i="7"/>
  <c r="R22" i="7"/>
  <c r="FI21" i="7"/>
  <c r="FG21" i="7"/>
  <c r="FD21" i="7"/>
  <c r="EX21" i="7"/>
  <c r="EW21" i="7"/>
  <c r="EV21" i="7"/>
  <c r="EK21" i="7"/>
  <c r="EJ21" i="7"/>
  <c r="EI21" i="7"/>
  <c r="EH21" i="7"/>
  <c r="EG21" i="7"/>
  <c r="EF21" i="7"/>
  <c r="EE21" i="7"/>
  <c r="ED21" i="7"/>
  <c r="EC21" i="7"/>
  <c r="EB21" i="7"/>
  <c r="EA21" i="7"/>
  <c r="DZ21" i="7"/>
  <c r="DY21" i="7"/>
  <c r="DX21" i="7"/>
  <c r="DW21" i="7"/>
  <c r="DV21" i="7"/>
  <c r="DU21" i="7"/>
  <c r="DT21" i="7"/>
  <c r="DS21" i="7"/>
  <c r="DR21" i="7"/>
  <c r="DQ21" i="7"/>
  <c r="DP21" i="7"/>
  <c r="DO21" i="7"/>
  <c r="DN21" i="7"/>
  <c r="DM21" i="7"/>
  <c r="DL21" i="7"/>
  <c r="DK21" i="7"/>
  <c r="DJ21" i="7"/>
  <c r="DI21" i="7"/>
  <c r="DH21" i="7"/>
  <c r="DG21" i="7"/>
  <c r="DF21" i="7"/>
  <c r="DE21" i="7"/>
  <c r="DD21" i="7"/>
  <c r="DC21" i="7"/>
  <c r="DB21" i="7"/>
  <c r="DA21" i="7"/>
  <c r="CZ21" i="7"/>
  <c r="CY21" i="7"/>
  <c r="CX21" i="7"/>
  <c r="CW21" i="7"/>
  <c r="CV21" i="7"/>
  <c r="CU21" i="7"/>
  <c r="CT21" i="7"/>
  <c r="CS21" i="7"/>
  <c r="CR21" i="7"/>
  <c r="CQ21" i="7"/>
  <c r="CP21" i="7"/>
  <c r="CO21" i="7"/>
  <c r="CN21" i="7"/>
  <c r="CM21" i="7"/>
  <c r="CL21" i="7"/>
  <c r="BS21" i="7"/>
  <c r="BU21" i="7" s="1"/>
  <c r="AO21" i="7"/>
  <c r="EY21" i="7" s="1"/>
  <c r="AN21" i="7"/>
  <c r="FB21" i="7" s="1"/>
  <c r="AJ21" i="7"/>
  <c r="Z21" i="7"/>
  <c r="R21" i="7"/>
  <c r="FI20" i="7"/>
  <c r="FG20" i="7"/>
  <c r="FD20" i="7"/>
  <c r="EX20" i="7"/>
  <c r="EW20" i="7"/>
  <c r="EV20" i="7"/>
  <c r="EK20" i="7"/>
  <c r="EJ20" i="7"/>
  <c r="EI20" i="7"/>
  <c r="EH20" i="7"/>
  <c r="EG20" i="7"/>
  <c r="EF20" i="7"/>
  <c r="EE20" i="7"/>
  <c r="ED20" i="7"/>
  <c r="EC20" i="7"/>
  <c r="EB20" i="7"/>
  <c r="EA20" i="7"/>
  <c r="DZ20" i="7"/>
  <c r="DY20" i="7"/>
  <c r="DX20" i="7"/>
  <c r="DW20" i="7"/>
  <c r="DV20" i="7"/>
  <c r="DU20" i="7"/>
  <c r="DT20" i="7"/>
  <c r="DS20" i="7"/>
  <c r="DR20" i="7"/>
  <c r="DQ20" i="7"/>
  <c r="DP20" i="7"/>
  <c r="DO20" i="7"/>
  <c r="DN20" i="7"/>
  <c r="DM20" i="7"/>
  <c r="DL20" i="7"/>
  <c r="DK20" i="7"/>
  <c r="DJ20" i="7"/>
  <c r="DI20" i="7"/>
  <c r="DH20" i="7"/>
  <c r="DG20" i="7"/>
  <c r="DF20" i="7"/>
  <c r="DE20" i="7"/>
  <c r="DD20" i="7"/>
  <c r="DC20" i="7"/>
  <c r="DB20" i="7"/>
  <c r="DA20" i="7"/>
  <c r="CZ20" i="7"/>
  <c r="CY20" i="7"/>
  <c r="CX20" i="7"/>
  <c r="CW20" i="7"/>
  <c r="CV20" i="7"/>
  <c r="CU20" i="7"/>
  <c r="CT20" i="7"/>
  <c r="CS20" i="7"/>
  <c r="CR20" i="7"/>
  <c r="CQ20" i="7"/>
  <c r="CP20" i="7"/>
  <c r="CO20" i="7"/>
  <c r="CN20" i="7"/>
  <c r="CM20" i="7"/>
  <c r="CL20" i="7"/>
  <c r="BS20" i="7"/>
  <c r="BU20" i="7" s="1"/>
  <c r="AO20" i="7"/>
  <c r="AN20" i="7"/>
  <c r="FB20" i="7" s="1"/>
  <c r="AJ20" i="7"/>
  <c r="Z20" i="7"/>
  <c r="R20" i="7"/>
  <c r="FI19" i="7"/>
  <c r="FG19" i="7"/>
  <c r="FD19" i="7"/>
  <c r="EX19" i="7"/>
  <c r="EW19" i="7"/>
  <c r="EV19" i="7"/>
  <c r="EK19" i="7"/>
  <c r="EJ19" i="7"/>
  <c r="EI19" i="7"/>
  <c r="EH19" i="7"/>
  <c r="EG19" i="7"/>
  <c r="EF19" i="7"/>
  <c r="EE19" i="7"/>
  <c r="ED19" i="7"/>
  <c r="EC19" i="7"/>
  <c r="EB19" i="7"/>
  <c r="EA19" i="7"/>
  <c r="DZ19" i="7"/>
  <c r="DY19" i="7"/>
  <c r="DX19" i="7"/>
  <c r="DW19" i="7"/>
  <c r="DV19" i="7"/>
  <c r="DU19" i="7"/>
  <c r="DT19" i="7"/>
  <c r="DS19" i="7"/>
  <c r="DR19" i="7"/>
  <c r="DQ19" i="7"/>
  <c r="DP19" i="7"/>
  <c r="DO19" i="7"/>
  <c r="DN19" i="7"/>
  <c r="DM19" i="7"/>
  <c r="DL19" i="7"/>
  <c r="DK19" i="7"/>
  <c r="DJ19" i="7"/>
  <c r="DI19" i="7"/>
  <c r="DH19" i="7"/>
  <c r="DG19" i="7"/>
  <c r="DF19" i="7"/>
  <c r="DE19" i="7"/>
  <c r="DD19" i="7"/>
  <c r="DC19" i="7"/>
  <c r="DB19" i="7"/>
  <c r="DA19" i="7"/>
  <c r="CZ19" i="7"/>
  <c r="CY19" i="7"/>
  <c r="CX19" i="7"/>
  <c r="CW19" i="7"/>
  <c r="CV19" i="7"/>
  <c r="CU19" i="7"/>
  <c r="CT19" i="7"/>
  <c r="CS19" i="7"/>
  <c r="CR19" i="7"/>
  <c r="CQ19" i="7"/>
  <c r="CP19" i="7"/>
  <c r="CO19" i="7"/>
  <c r="CN19" i="7"/>
  <c r="CM19" i="7"/>
  <c r="CL19" i="7"/>
  <c r="BS19" i="7"/>
  <c r="BU19" i="7" s="1"/>
  <c r="AO19" i="7"/>
  <c r="FA19" i="7" s="1"/>
  <c r="AN19" i="7"/>
  <c r="AU19" i="7" s="1"/>
  <c r="AJ19" i="7"/>
  <c r="Z19" i="7"/>
  <c r="R19" i="7"/>
  <c r="FI18" i="7"/>
  <c r="FG18" i="7"/>
  <c r="FD18" i="7"/>
  <c r="EX18" i="7"/>
  <c r="EW18" i="7"/>
  <c r="EV18" i="7"/>
  <c r="EK18" i="7"/>
  <c r="EJ18" i="7"/>
  <c r="EI18" i="7"/>
  <c r="EH18" i="7"/>
  <c r="EG18" i="7"/>
  <c r="EF18" i="7"/>
  <c r="EE18" i="7"/>
  <c r="ED18" i="7"/>
  <c r="EC18" i="7"/>
  <c r="EB18" i="7"/>
  <c r="EA18" i="7"/>
  <c r="DZ18" i="7"/>
  <c r="DY18" i="7"/>
  <c r="DX18" i="7"/>
  <c r="DW18" i="7"/>
  <c r="DV18" i="7"/>
  <c r="DU18" i="7"/>
  <c r="DT18" i="7"/>
  <c r="DS18" i="7"/>
  <c r="DR18" i="7"/>
  <c r="DQ18" i="7"/>
  <c r="DP18" i="7"/>
  <c r="DO18" i="7"/>
  <c r="DN18" i="7"/>
  <c r="DM18" i="7"/>
  <c r="DL18" i="7"/>
  <c r="DK18" i="7"/>
  <c r="DJ18" i="7"/>
  <c r="DI18" i="7"/>
  <c r="DH18" i="7"/>
  <c r="DG18" i="7"/>
  <c r="DF18" i="7"/>
  <c r="DE18" i="7"/>
  <c r="DD18" i="7"/>
  <c r="DC18" i="7"/>
  <c r="DB18" i="7"/>
  <c r="DA18" i="7"/>
  <c r="CZ18" i="7"/>
  <c r="CY18" i="7"/>
  <c r="CX18" i="7"/>
  <c r="CW18" i="7"/>
  <c r="CV18" i="7"/>
  <c r="CU18" i="7"/>
  <c r="CT18" i="7"/>
  <c r="CS18" i="7"/>
  <c r="CR18" i="7"/>
  <c r="CQ18" i="7"/>
  <c r="CP18" i="7"/>
  <c r="CO18" i="7"/>
  <c r="CN18" i="7"/>
  <c r="CM18" i="7"/>
  <c r="CL18" i="7"/>
  <c r="BS18" i="7"/>
  <c r="BU18" i="7" s="1"/>
  <c r="AO18" i="7"/>
  <c r="EY18" i="7" s="1"/>
  <c r="AN18" i="7"/>
  <c r="FB18" i="7" s="1"/>
  <c r="AJ18" i="7"/>
  <c r="Z18" i="7"/>
  <c r="R18" i="7"/>
  <c r="FI17" i="7"/>
  <c r="FG17" i="7"/>
  <c r="FD17" i="7"/>
  <c r="EX17" i="7"/>
  <c r="EW17" i="7"/>
  <c r="EV17" i="7"/>
  <c r="EK17" i="7"/>
  <c r="EJ17" i="7"/>
  <c r="EI17" i="7"/>
  <c r="EH17" i="7"/>
  <c r="EG17" i="7"/>
  <c r="EF17" i="7"/>
  <c r="EE17" i="7"/>
  <c r="ED17" i="7"/>
  <c r="EC17" i="7"/>
  <c r="EB17" i="7"/>
  <c r="EA17" i="7"/>
  <c r="DZ17" i="7"/>
  <c r="DY17" i="7"/>
  <c r="DX17" i="7"/>
  <c r="DW17" i="7"/>
  <c r="DV17" i="7"/>
  <c r="DU17" i="7"/>
  <c r="DT17" i="7"/>
  <c r="DS17" i="7"/>
  <c r="DR17" i="7"/>
  <c r="DQ17" i="7"/>
  <c r="DP17" i="7"/>
  <c r="DO17" i="7"/>
  <c r="DN17" i="7"/>
  <c r="DM17" i="7"/>
  <c r="DL17" i="7"/>
  <c r="DK17" i="7"/>
  <c r="DJ17" i="7"/>
  <c r="DI17" i="7"/>
  <c r="DH17" i="7"/>
  <c r="DG17" i="7"/>
  <c r="DF17" i="7"/>
  <c r="DE17" i="7"/>
  <c r="DD17" i="7"/>
  <c r="DC17" i="7"/>
  <c r="DB17" i="7"/>
  <c r="DA17" i="7"/>
  <c r="CZ17" i="7"/>
  <c r="CY17" i="7"/>
  <c r="CX17" i="7"/>
  <c r="CW17" i="7"/>
  <c r="CV17" i="7"/>
  <c r="CU17" i="7"/>
  <c r="CT17" i="7"/>
  <c r="CS17" i="7"/>
  <c r="CR17" i="7"/>
  <c r="CQ17" i="7"/>
  <c r="CP17" i="7"/>
  <c r="CO17" i="7"/>
  <c r="CN17" i="7"/>
  <c r="CM17" i="7"/>
  <c r="CL17" i="7"/>
  <c r="BS17" i="7"/>
  <c r="BU17" i="7" s="1"/>
  <c r="AO17" i="7"/>
  <c r="FA17" i="7" s="1"/>
  <c r="AN17" i="7"/>
  <c r="FB17" i="7" s="1"/>
  <c r="AJ17" i="7"/>
  <c r="Z17" i="7"/>
  <c r="R17" i="7"/>
  <c r="FI16" i="7"/>
  <c r="FG16" i="7"/>
  <c r="FD16" i="7"/>
  <c r="EX16" i="7"/>
  <c r="EW16" i="7"/>
  <c r="EV16" i="7"/>
  <c r="EK16" i="7"/>
  <c r="EJ16" i="7"/>
  <c r="EI16" i="7"/>
  <c r="EH16" i="7"/>
  <c r="EG16" i="7"/>
  <c r="EF16" i="7"/>
  <c r="EE16" i="7"/>
  <c r="ED16" i="7"/>
  <c r="EC16" i="7"/>
  <c r="EB16" i="7"/>
  <c r="EA16" i="7"/>
  <c r="DZ16" i="7"/>
  <c r="DY16" i="7"/>
  <c r="DX16" i="7"/>
  <c r="DW16" i="7"/>
  <c r="DV16" i="7"/>
  <c r="DU16" i="7"/>
  <c r="DT16" i="7"/>
  <c r="DS16" i="7"/>
  <c r="DR16" i="7"/>
  <c r="DQ16" i="7"/>
  <c r="DP16" i="7"/>
  <c r="DO16" i="7"/>
  <c r="DN16" i="7"/>
  <c r="DM16" i="7"/>
  <c r="DL16" i="7"/>
  <c r="DK16" i="7"/>
  <c r="DJ16" i="7"/>
  <c r="DI16" i="7"/>
  <c r="DH16" i="7"/>
  <c r="DG16" i="7"/>
  <c r="DF16" i="7"/>
  <c r="DE16" i="7"/>
  <c r="DD16" i="7"/>
  <c r="DC16" i="7"/>
  <c r="DB16" i="7"/>
  <c r="DA16" i="7"/>
  <c r="CZ16" i="7"/>
  <c r="CY16" i="7"/>
  <c r="CX16" i="7"/>
  <c r="CW16" i="7"/>
  <c r="CV16" i="7"/>
  <c r="CU16" i="7"/>
  <c r="CT16" i="7"/>
  <c r="CS16" i="7"/>
  <c r="CR16" i="7"/>
  <c r="CQ16" i="7"/>
  <c r="CP16" i="7"/>
  <c r="CO16" i="7"/>
  <c r="CN16" i="7"/>
  <c r="CM16" i="7"/>
  <c r="CL16" i="7"/>
  <c r="BS16" i="7"/>
  <c r="BU16" i="7" s="1"/>
  <c r="AO16" i="7"/>
  <c r="AN16" i="7"/>
  <c r="FB16" i="7" s="1"/>
  <c r="AJ16" i="7"/>
  <c r="Z16" i="7"/>
  <c r="R16" i="7"/>
  <c r="FI15" i="7"/>
  <c r="FG15" i="7"/>
  <c r="FD15" i="7"/>
  <c r="EX15" i="7"/>
  <c r="EW15" i="7"/>
  <c r="EV15" i="7"/>
  <c r="EK15" i="7"/>
  <c r="EJ15" i="7"/>
  <c r="EI15" i="7"/>
  <c r="EH15" i="7"/>
  <c r="EG15" i="7"/>
  <c r="EF15" i="7"/>
  <c r="EE15" i="7"/>
  <c r="ED15" i="7"/>
  <c r="EC15" i="7"/>
  <c r="EB15" i="7"/>
  <c r="EA15" i="7"/>
  <c r="DZ15" i="7"/>
  <c r="DY15" i="7"/>
  <c r="DX15" i="7"/>
  <c r="DW15" i="7"/>
  <c r="DV15" i="7"/>
  <c r="DU15" i="7"/>
  <c r="DT15" i="7"/>
  <c r="DS15" i="7"/>
  <c r="DR15" i="7"/>
  <c r="DQ15" i="7"/>
  <c r="DP15" i="7"/>
  <c r="DO15" i="7"/>
  <c r="DN15" i="7"/>
  <c r="DM15" i="7"/>
  <c r="DL15" i="7"/>
  <c r="DK15" i="7"/>
  <c r="DJ15" i="7"/>
  <c r="DI15" i="7"/>
  <c r="DH15" i="7"/>
  <c r="DG15" i="7"/>
  <c r="DF15" i="7"/>
  <c r="DE15" i="7"/>
  <c r="DD15" i="7"/>
  <c r="DC15" i="7"/>
  <c r="DB15" i="7"/>
  <c r="DA15" i="7"/>
  <c r="CZ15" i="7"/>
  <c r="CY15" i="7"/>
  <c r="CX15" i="7"/>
  <c r="CW15" i="7"/>
  <c r="CV15" i="7"/>
  <c r="CU15" i="7"/>
  <c r="CT15" i="7"/>
  <c r="CS15" i="7"/>
  <c r="CR15" i="7"/>
  <c r="CQ15" i="7"/>
  <c r="CP15" i="7"/>
  <c r="CO15" i="7"/>
  <c r="CN15" i="7"/>
  <c r="CM15" i="7"/>
  <c r="CL15" i="7"/>
  <c r="BS15" i="7"/>
  <c r="BU15" i="7" s="1"/>
  <c r="AO15" i="7"/>
  <c r="BK15" i="7" s="1"/>
  <c r="BM15" i="7" s="1"/>
  <c r="BO15" i="7" s="1"/>
  <c r="BX15" i="7" s="1"/>
  <c r="AN15" i="7"/>
  <c r="FB15" i="7" s="1"/>
  <c r="AJ15" i="7"/>
  <c r="Z15" i="7"/>
  <c r="R15" i="7"/>
  <c r="FI14" i="7"/>
  <c r="FG14" i="7"/>
  <c r="FD14" i="7"/>
  <c r="EX14" i="7"/>
  <c r="EW14" i="7"/>
  <c r="EV14" i="7"/>
  <c r="EK14" i="7"/>
  <c r="EJ14" i="7"/>
  <c r="EI14" i="7"/>
  <c r="EH14" i="7"/>
  <c r="EG14" i="7"/>
  <c r="EF14" i="7"/>
  <c r="EE14" i="7"/>
  <c r="ED14" i="7"/>
  <c r="EC14" i="7"/>
  <c r="EB14" i="7"/>
  <c r="EA14" i="7"/>
  <c r="DZ14" i="7"/>
  <c r="DY14" i="7"/>
  <c r="DX14" i="7"/>
  <c r="DW14" i="7"/>
  <c r="DV14" i="7"/>
  <c r="DU14" i="7"/>
  <c r="DT14" i="7"/>
  <c r="DS14" i="7"/>
  <c r="DR14" i="7"/>
  <c r="DQ14" i="7"/>
  <c r="DP14" i="7"/>
  <c r="DO14" i="7"/>
  <c r="DN14" i="7"/>
  <c r="DM14" i="7"/>
  <c r="DL14" i="7"/>
  <c r="DK14" i="7"/>
  <c r="DJ14" i="7"/>
  <c r="DI14" i="7"/>
  <c r="DH14" i="7"/>
  <c r="DG14" i="7"/>
  <c r="DF14" i="7"/>
  <c r="DE14" i="7"/>
  <c r="DD14" i="7"/>
  <c r="DC14" i="7"/>
  <c r="DB14" i="7"/>
  <c r="DA14" i="7"/>
  <c r="CZ14" i="7"/>
  <c r="CY14" i="7"/>
  <c r="CX14" i="7"/>
  <c r="CW14" i="7"/>
  <c r="CV14" i="7"/>
  <c r="CU14" i="7"/>
  <c r="CT14" i="7"/>
  <c r="CS14" i="7"/>
  <c r="CR14" i="7"/>
  <c r="CQ14" i="7"/>
  <c r="CP14" i="7"/>
  <c r="CO14" i="7"/>
  <c r="CN14" i="7"/>
  <c r="CM14" i="7"/>
  <c r="CL14" i="7"/>
  <c r="BS14" i="7"/>
  <c r="BU14" i="7" s="1"/>
  <c r="AO14" i="7"/>
  <c r="EY14" i="7" s="1"/>
  <c r="AN14" i="7"/>
  <c r="FB14" i="7" s="1"/>
  <c r="AJ14" i="7"/>
  <c r="Z14" i="7"/>
  <c r="R14" i="7"/>
  <c r="FI13" i="7"/>
  <c r="FG13" i="7"/>
  <c r="FD13" i="7"/>
  <c r="EX13" i="7"/>
  <c r="EW13" i="7"/>
  <c r="EV13" i="7"/>
  <c r="EK13" i="7"/>
  <c r="EJ13" i="7"/>
  <c r="EI13" i="7"/>
  <c r="EH13" i="7"/>
  <c r="EG13" i="7"/>
  <c r="EF13" i="7"/>
  <c r="EE13" i="7"/>
  <c r="ED13" i="7"/>
  <c r="EC13" i="7"/>
  <c r="EB13" i="7"/>
  <c r="EA13" i="7"/>
  <c r="DZ13" i="7"/>
  <c r="DY13" i="7"/>
  <c r="DX13" i="7"/>
  <c r="DW13" i="7"/>
  <c r="DV13" i="7"/>
  <c r="DU13" i="7"/>
  <c r="DT13" i="7"/>
  <c r="DS13" i="7"/>
  <c r="DR13" i="7"/>
  <c r="DQ13" i="7"/>
  <c r="DP13" i="7"/>
  <c r="DO13" i="7"/>
  <c r="DN13" i="7"/>
  <c r="DM13" i="7"/>
  <c r="DL13" i="7"/>
  <c r="DK13" i="7"/>
  <c r="DJ13" i="7"/>
  <c r="DI13" i="7"/>
  <c r="DH13" i="7"/>
  <c r="DG13" i="7"/>
  <c r="DF13" i="7"/>
  <c r="DE13" i="7"/>
  <c r="DD13" i="7"/>
  <c r="DC13" i="7"/>
  <c r="DB13" i="7"/>
  <c r="DA13" i="7"/>
  <c r="CZ13" i="7"/>
  <c r="CY13" i="7"/>
  <c r="CX13" i="7"/>
  <c r="CW13" i="7"/>
  <c r="CV13" i="7"/>
  <c r="CU13" i="7"/>
  <c r="CT13" i="7"/>
  <c r="CS13" i="7"/>
  <c r="CR13" i="7"/>
  <c r="CQ13" i="7"/>
  <c r="CP13" i="7"/>
  <c r="CO13" i="7"/>
  <c r="CN13" i="7"/>
  <c r="CM13" i="7"/>
  <c r="CL13" i="7"/>
  <c r="BS13" i="7"/>
  <c r="BU13" i="7" s="1"/>
  <c r="AO13" i="7"/>
  <c r="AN13" i="7"/>
  <c r="EZ13" i="7" s="1"/>
  <c r="AJ13" i="7"/>
  <c r="Z13" i="7"/>
  <c r="R13" i="7"/>
  <c r="FI12" i="7"/>
  <c r="FG12" i="7"/>
  <c r="FD12" i="7"/>
  <c r="EX12" i="7"/>
  <c r="EW12" i="7"/>
  <c r="EV12" i="7"/>
  <c r="EK12" i="7"/>
  <c r="EJ12" i="7"/>
  <c r="EI12" i="7"/>
  <c r="EH12" i="7"/>
  <c r="EG12" i="7"/>
  <c r="EF12" i="7"/>
  <c r="EE12" i="7"/>
  <c r="ED12" i="7"/>
  <c r="EC12" i="7"/>
  <c r="EB12" i="7"/>
  <c r="EA12" i="7"/>
  <c r="DZ12" i="7"/>
  <c r="DY12" i="7"/>
  <c r="DX12" i="7"/>
  <c r="DW12" i="7"/>
  <c r="DV12" i="7"/>
  <c r="DU12" i="7"/>
  <c r="DT12" i="7"/>
  <c r="DS12" i="7"/>
  <c r="DR12" i="7"/>
  <c r="DQ12" i="7"/>
  <c r="DP12" i="7"/>
  <c r="DO12" i="7"/>
  <c r="DN12" i="7"/>
  <c r="DM12" i="7"/>
  <c r="DL12" i="7"/>
  <c r="DK12" i="7"/>
  <c r="DJ12" i="7"/>
  <c r="DI12" i="7"/>
  <c r="DH12" i="7"/>
  <c r="DG12" i="7"/>
  <c r="DF12" i="7"/>
  <c r="DE12" i="7"/>
  <c r="DD12" i="7"/>
  <c r="DC12" i="7"/>
  <c r="DB12" i="7"/>
  <c r="DA12" i="7"/>
  <c r="CZ12" i="7"/>
  <c r="CY12" i="7"/>
  <c r="CX12" i="7"/>
  <c r="CW12" i="7"/>
  <c r="CV12" i="7"/>
  <c r="CU12" i="7"/>
  <c r="CT12" i="7"/>
  <c r="CS12" i="7"/>
  <c r="CR12" i="7"/>
  <c r="CQ12" i="7"/>
  <c r="CP12" i="7"/>
  <c r="CO12" i="7"/>
  <c r="CN12" i="7"/>
  <c r="CM12" i="7"/>
  <c r="CL12" i="7"/>
  <c r="BS12" i="7"/>
  <c r="BU12" i="7" s="1"/>
  <c r="AO12" i="7"/>
  <c r="AN12" i="7"/>
  <c r="EZ12" i="7" s="1"/>
  <c r="AJ12" i="7"/>
  <c r="Z12" i="7"/>
  <c r="R12" i="7"/>
  <c r="FI11" i="7"/>
  <c r="FG11" i="7"/>
  <c r="FD11" i="7"/>
  <c r="EX11" i="7"/>
  <c r="EW11" i="7"/>
  <c r="EV11" i="7"/>
  <c r="EK11" i="7"/>
  <c r="EJ11" i="7"/>
  <c r="EI11" i="7"/>
  <c r="EH11" i="7"/>
  <c r="EG11" i="7"/>
  <c r="EF11" i="7"/>
  <c r="EE11" i="7"/>
  <c r="ED11" i="7"/>
  <c r="EC11" i="7"/>
  <c r="EB11" i="7"/>
  <c r="EA11" i="7"/>
  <c r="DZ11" i="7"/>
  <c r="DY11" i="7"/>
  <c r="DX11" i="7"/>
  <c r="DW11" i="7"/>
  <c r="DV11" i="7"/>
  <c r="DU11" i="7"/>
  <c r="DT11" i="7"/>
  <c r="DS11" i="7"/>
  <c r="DR11" i="7"/>
  <c r="DQ11" i="7"/>
  <c r="DP11" i="7"/>
  <c r="DO11" i="7"/>
  <c r="DN11" i="7"/>
  <c r="DM11" i="7"/>
  <c r="DL11" i="7"/>
  <c r="DK11" i="7"/>
  <c r="DJ11" i="7"/>
  <c r="DI11" i="7"/>
  <c r="DH11" i="7"/>
  <c r="DG11" i="7"/>
  <c r="DF11" i="7"/>
  <c r="DE11" i="7"/>
  <c r="DD11" i="7"/>
  <c r="DC11" i="7"/>
  <c r="DB11" i="7"/>
  <c r="DA11" i="7"/>
  <c r="CZ11" i="7"/>
  <c r="CY11" i="7"/>
  <c r="CX11" i="7"/>
  <c r="CW11" i="7"/>
  <c r="CV11" i="7"/>
  <c r="CU11" i="7"/>
  <c r="CT11" i="7"/>
  <c r="CS11" i="7"/>
  <c r="CR11" i="7"/>
  <c r="CQ11" i="7"/>
  <c r="CP11" i="7"/>
  <c r="CO11" i="7"/>
  <c r="CN11" i="7"/>
  <c r="CM11" i="7"/>
  <c r="CL11" i="7"/>
  <c r="BS11" i="7"/>
  <c r="BU11" i="7" s="1"/>
  <c r="AO11" i="7"/>
  <c r="FE11" i="7" s="1"/>
  <c r="AN11" i="7"/>
  <c r="FB11" i="7" s="1"/>
  <c r="AJ11" i="7"/>
  <c r="Z11" i="7"/>
  <c r="R11" i="7"/>
  <c r="FI10" i="7"/>
  <c r="FG10" i="7"/>
  <c r="FD10" i="7"/>
  <c r="EX10" i="7"/>
  <c r="EW10" i="7"/>
  <c r="EV10" i="7"/>
  <c r="EK10" i="7"/>
  <c r="EJ10" i="7"/>
  <c r="EI10" i="7"/>
  <c r="EH10" i="7"/>
  <c r="EG10" i="7"/>
  <c r="EF10" i="7"/>
  <c r="EE10" i="7"/>
  <c r="ED10" i="7"/>
  <c r="EC10" i="7"/>
  <c r="EB10" i="7"/>
  <c r="EA10" i="7"/>
  <c r="DZ10" i="7"/>
  <c r="DY10" i="7"/>
  <c r="DX10" i="7"/>
  <c r="DW10" i="7"/>
  <c r="DV10" i="7"/>
  <c r="DU10" i="7"/>
  <c r="DT10" i="7"/>
  <c r="DS10" i="7"/>
  <c r="DR10" i="7"/>
  <c r="DQ10" i="7"/>
  <c r="DP10" i="7"/>
  <c r="DO10" i="7"/>
  <c r="DN10" i="7"/>
  <c r="DM10" i="7"/>
  <c r="DL10" i="7"/>
  <c r="DK10" i="7"/>
  <c r="DJ10" i="7"/>
  <c r="DI10" i="7"/>
  <c r="DH10" i="7"/>
  <c r="DG10" i="7"/>
  <c r="DF10" i="7"/>
  <c r="DE10" i="7"/>
  <c r="DD10" i="7"/>
  <c r="DC10" i="7"/>
  <c r="DB10" i="7"/>
  <c r="DA10" i="7"/>
  <c r="CZ10" i="7"/>
  <c r="CY10" i="7"/>
  <c r="CX10" i="7"/>
  <c r="CW10" i="7"/>
  <c r="CV10" i="7"/>
  <c r="CU10" i="7"/>
  <c r="CT10" i="7"/>
  <c r="CS10" i="7"/>
  <c r="CR10" i="7"/>
  <c r="CQ10" i="7"/>
  <c r="CP10" i="7"/>
  <c r="CO10" i="7"/>
  <c r="CN10" i="7"/>
  <c r="CM10" i="7"/>
  <c r="CL10" i="7"/>
  <c r="BS10" i="7"/>
  <c r="BU10" i="7" s="1"/>
  <c r="AO10" i="7"/>
  <c r="AN10" i="7"/>
  <c r="AJ10" i="7"/>
  <c r="Z10" i="7"/>
  <c r="R10" i="7"/>
  <c r="FI9" i="7"/>
  <c r="FG9" i="7"/>
  <c r="FF9" i="7"/>
  <c r="FD9" i="7"/>
  <c r="EX9" i="7"/>
  <c r="EW9" i="7"/>
  <c r="EV9" i="7"/>
  <c r="EK9" i="7"/>
  <c r="EJ9" i="7"/>
  <c r="EI9" i="7"/>
  <c r="EH9" i="7"/>
  <c r="EG9" i="7"/>
  <c r="EF9" i="7"/>
  <c r="EE9" i="7"/>
  <c r="ED9" i="7"/>
  <c r="EC9" i="7"/>
  <c r="EB9" i="7"/>
  <c r="EA9" i="7"/>
  <c r="DZ9" i="7"/>
  <c r="DY9" i="7"/>
  <c r="DX9" i="7"/>
  <c r="DW9" i="7"/>
  <c r="DV9" i="7"/>
  <c r="DU9" i="7"/>
  <c r="DT9" i="7"/>
  <c r="DS9" i="7"/>
  <c r="DR9" i="7"/>
  <c r="DQ9" i="7"/>
  <c r="DP9" i="7"/>
  <c r="DO9" i="7"/>
  <c r="DN9" i="7"/>
  <c r="DM9" i="7"/>
  <c r="DL9" i="7"/>
  <c r="DK9" i="7"/>
  <c r="DJ9" i="7"/>
  <c r="DI9" i="7"/>
  <c r="DH9" i="7"/>
  <c r="DG9" i="7"/>
  <c r="DF9" i="7"/>
  <c r="DE9" i="7"/>
  <c r="DD9" i="7"/>
  <c r="DC9" i="7"/>
  <c r="DB9" i="7"/>
  <c r="DA9" i="7"/>
  <c r="CZ9" i="7"/>
  <c r="CY9" i="7"/>
  <c r="CX9" i="7"/>
  <c r="CW9" i="7"/>
  <c r="CV9" i="7"/>
  <c r="CU9" i="7"/>
  <c r="CT9" i="7"/>
  <c r="CS9" i="7"/>
  <c r="CR9" i="7"/>
  <c r="CQ9" i="7"/>
  <c r="CP9" i="7"/>
  <c r="CO9" i="7"/>
  <c r="CN9" i="7"/>
  <c r="CM9" i="7"/>
  <c r="CL9" i="7"/>
  <c r="BS9" i="7"/>
  <c r="BU9" i="7" s="1"/>
  <c r="BK9" i="7"/>
  <c r="BM9" i="7" s="1"/>
  <c r="BO9" i="7" s="1"/>
  <c r="AO9" i="7"/>
  <c r="FA9" i="7" s="1"/>
  <c r="AN9" i="7"/>
  <c r="FB9" i="7" s="1"/>
  <c r="AJ9" i="7"/>
  <c r="Z9" i="7"/>
  <c r="R9" i="7"/>
  <c r="FI8" i="7"/>
  <c r="FG8" i="7"/>
  <c r="FF8" i="7"/>
  <c r="FD8" i="7"/>
  <c r="EX8" i="7"/>
  <c r="EW8" i="7"/>
  <c r="EV8" i="7"/>
  <c r="EK8" i="7"/>
  <c r="EJ8" i="7"/>
  <c r="EI8" i="7"/>
  <c r="EH8" i="7"/>
  <c r="EG8" i="7"/>
  <c r="EF8" i="7"/>
  <c r="EE8" i="7"/>
  <c r="ED8" i="7"/>
  <c r="EC8" i="7"/>
  <c r="EB8" i="7"/>
  <c r="EA8" i="7"/>
  <c r="DZ8" i="7"/>
  <c r="DY8" i="7"/>
  <c r="DX8" i="7"/>
  <c r="DW8" i="7"/>
  <c r="DV8" i="7"/>
  <c r="DU8" i="7"/>
  <c r="DT8" i="7"/>
  <c r="DS8" i="7"/>
  <c r="DR8" i="7"/>
  <c r="DQ8" i="7"/>
  <c r="DP8" i="7"/>
  <c r="DO8" i="7"/>
  <c r="DN8" i="7"/>
  <c r="DM8" i="7"/>
  <c r="DL8" i="7"/>
  <c r="DK8" i="7"/>
  <c r="DJ8" i="7"/>
  <c r="DI8" i="7"/>
  <c r="DH8" i="7"/>
  <c r="DG8" i="7"/>
  <c r="DF8" i="7"/>
  <c r="DE8" i="7"/>
  <c r="DD8" i="7"/>
  <c r="DC8" i="7"/>
  <c r="DB8" i="7"/>
  <c r="DA8" i="7"/>
  <c r="CZ8" i="7"/>
  <c r="CY8" i="7"/>
  <c r="CX8" i="7"/>
  <c r="CW8" i="7"/>
  <c r="CV8" i="7"/>
  <c r="CU8" i="7"/>
  <c r="CT8" i="7"/>
  <c r="CS8" i="7"/>
  <c r="CR8" i="7"/>
  <c r="CQ8" i="7"/>
  <c r="CP8" i="7"/>
  <c r="CO8" i="7"/>
  <c r="CN8" i="7"/>
  <c r="CM8" i="7"/>
  <c r="CL8" i="7"/>
  <c r="BS8" i="7"/>
  <c r="BU8" i="7" s="1"/>
  <c r="BK8" i="7"/>
  <c r="BM8" i="7" s="1"/>
  <c r="BO8" i="7" s="1"/>
  <c r="BX8" i="7" s="1"/>
  <c r="AO8" i="7"/>
  <c r="EY8" i="7" s="1"/>
  <c r="AN8" i="7"/>
  <c r="AJ8" i="7"/>
  <c r="Z8" i="7"/>
  <c r="R8" i="7"/>
  <c r="FI7" i="7"/>
  <c r="FG7" i="7"/>
  <c r="FF7" i="7"/>
  <c r="FD7" i="7"/>
  <c r="EX7" i="7"/>
  <c r="EW7" i="7"/>
  <c r="EV7" i="7"/>
  <c r="EK7" i="7"/>
  <c r="EJ7" i="7"/>
  <c r="EI7" i="7"/>
  <c r="EH7" i="7"/>
  <c r="EG7" i="7"/>
  <c r="EF7" i="7"/>
  <c r="EE7" i="7"/>
  <c r="ED7" i="7"/>
  <c r="EC7" i="7"/>
  <c r="EB7" i="7"/>
  <c r="EA7" i="7"/>
  <c r="DZ7" i="7"/>
  <c r="DY7" i="7"/>
  <c r="DX7" i="7"/>
  <c r="DW7" i="7"/>
  <c r="DV7" i="7"/>
  <c r="DU7" i="7"/>
  <c r="DT7" i="7"/>
  <c r="DS7" i="7"/>
  <c r="DR7" i="7"/>
  <c r="DQ7" i="7"/>
  <c r="DP7" i="7"/>
  <c r="DO7" i="7"/>
  <c r="DN7" i="7"/>
  <c r="DM7" i="7"/>
  <c r="DL7" i="7"/>
  <c r="DK7" i="7"/>
  <c r="DJ7" i="7"/>
  <c r="DI7" i="7"/>
  <c r="DH7" i="7"/>
  <c r="DG7" i="7"/>
  <c r="DF7" i="7"/>
  <c r="DE7" i="7"/>
  <c r="DD7" i="7"/>
  <c r="DC7" i="7"/>
  <c r="DB7" i="7"/>
  <c r="DA7" i="7"/>
  <c r="CZ7" i="7"/>
  <c r="CY7" i="7"/>
  <c r="CX7" i="7"/>
  <c r="CW7" i="7"/>
  <c r="CV7" i="7"/>
  <c r="CU7" i="7"/>
  <c r="CT7" i="7"/>
  <c r="CS7" i="7"/>
  <c r="CR7" i="7"/>
  <c r="CQ7" i="7"/>
  <c r="CP7" i="7"/>
  <c r="CO7" i="7"/>
  <c r="CN7" i="7"/>
  <c r="CM7" i="7"/>
  <c r="CL7" i="7"/>
  <c r="BS7" i="7"/>
  <c r="BU7" i="7" s="1"/>
  <c r="BK7" i="7"/>
  <c r="BM7" i="7" s="1"/>
  <c r="BO7" i="7" s="1"/>
  <c r="BX7" i="7" s="1"/>
  <c r="AO7" i="7"/>
  <c r="EY7" i="7" s="1"/>
  <c r="AN7" i="7"/>
  <c r="FH7" i="7" s="1"/>
  <c r="AJ7" i="7"/>
  <c r="Z7" i="7"/>
  <c r="R7" i="7"/>
  <c r="FI6" i="7"/>
  <c r="FG6" i="7"/>
  <c r="FF6" i="7"/>
  <c r="FD6" i="7"/>
  <c r="EX6" i="7"/>
  <c r="EW6" i="7"/>
  <c r="EV6" i="7"/>
  <c r="EK6" i="7"/>
  <c r="EJ6" i="7"/>
  <c r="EI6" i="7"/>
  <c r="EH6" i="7"/>
  <c r="EG6" i="7"/>
  <c r="EF6" i="7"/>
  <c r="EE6" i="7"/>
  <c r="ED6" i="7"/>
  <c r="EC6" i="7"/>
  <c r="EB6" i="7"/>
  <c r="EA6" i="7"/>
  <c r="DZ6" i="7"/>
  <c r="DY6" i="7"/>
  <c r="DX6" i="7"/>
  <c r="DW6" i="7"/>
  <c r="DV6" i="7"/>
  <c r="DU6" i="7"/>
  <c r="DT6" i="7"/>
  <c r="DS6" i="7"/>
  <c r="DR6" i="7"/>
  <c r="DQ6" i="7"/>
  <c r="DP6" i="7"/>
  <c r="DO6" i="7"/>
  <c r="DN6" i="7"/>
  <c r="DM6" i="7"/>
  <c r="DL6" i="7"/>
  <c r="DK6" i="7"/>
  <c r="DJ6" i="7"/>
  <c r="DI6" i="7"/>
  <c r="DH6" i="7"/>
  <c r="DG6" i="7"/>
  <c r="DF6" i="7"/>
  <c r="DE6" i="7"/>
  <c r="DD6" i="7"/>
  <c r="DC6" i="7"/>
  <c r="DB6" i="7"/>
  <c r="DA6" i="7"/>
  <c r="CZ6" i="7"/>
  <c r="CY6" i="7"/>
  <c r="CX6" i="7"/>
  <c r="CW6" i="7"/>
  <c r="CV6" i="7"/>
  <c r="CU6" i="7"/>
  <c r="CT6" i="7"/>
  <c r="CS6" i="7"/>
  <c r="CR6" i="7"/>
  <c r="CQ6" i="7"/>
  <c r="CP6" i="7"/>
  <c r="CO6" i="7"/>
  <c r="CN6" i="7"/>
  <c r="CM6" i="7"/>
  <c r="CL6" i="7"/>
  <c r="BS6" i="7"/>
  <c r="BU6" i="7" s="1"/>
  <c r="BK6" i="7"/>
  <c r="BM6" i="7" s="1"/>
  <c r="BO6" i="7" s="1"/>
  <c r="AO6" i="7"/>
  <c r="FE6" i="7" s="1"/>
  <c r="AN6" i="7"/>
  <c r="FB6" i="7" s="1"/>
  <c r="AJ6" i="7"/>
  <c r="Z6" i="7"/>
  <c r="R6" i="7"/>
  <c r="FI5" i="7"/>
  <c r="FG5" i="7"/>
  <c r="FF5" i="7"/>
  <c r="FD5" i="7"/>
  <c r="EX5" i="7"/>
  <c r="EW5" i="7"/>
  <c r="EV5" i="7"/>
  <c r="EK5" i="7"/>
  <c r="EJ5" i="7"/>
  <c r="EI5" i="7"/>
  <c r="EH5" i="7"/>
  <c r="EG5" i="7"/>
  <c r="EF5" i="7"/>
  <c r="EE5" i="7"/>
  <c r="ED5" i="7"/>
  <c r="EC5" i="7"/>
  <c r="EB5" i="7"/>
  <c r="EA5" i="7"/>
  <c r="DZ5" i="7"/>
  <c r="DY5" i="7"/>
  <c r="DX5" i="7"/>
  <c r="DW5" i="7"/>
  <c r="DV5" i="7"/>
  <c r="DU5" i="7"/>
  <c r="DT5" i="7"/>
  <c r="DS5" i="7"/>
  <c r="DR5" i="7"/>
  <c r="DQ5" i="7"/>
  <c r="DP5" i="7"/>
  <c r="DO5" i="7"/>
  <c r="DN5" i="7"/>
  <c r="DM5" i="7"/>
  <c r="DL5" i="7"/>
  <c r="DK5" i="7"/>
  <c r="DJ5" i="7"/>
  <c r="DI5" i="7"/>
  <c r="DH5" i="7"/>
  <c r="DG5" i="7"/>
  <c r="DF5" i="7"/>
  <c r="DE5" i="7"/>
  <c r="DD5" i="7"/>
  <c r="DC5" i="7"/>
  <c r="DB5" i="7"/>
  <c r="DA5" i="7"/>
  <c r="CZ5" i="7"/>
  <c r="CY5" i="7"/>
  <c r="CX5" i="7"/>
  <c r="CW5" i="7"/>
  <c r="CV5" i="7"/>
  <c r="CU5" i="7"/>
  <c r="CT5" i="7"/>
  <c r="CS5" i="7"/>
  <c r="CR5" i="7"/>
  <c r="CQ5" i="7"/>
  <c r="CP5" i="7"/>
  <c r="CO5" i="7"/>
  <c r="CN5" i="7"/>
  <c r="CM5" i="7"/>
  <c r="CL5" i="7"/>
  <c r="BS5" i="7"/>
  <c r="BU5" i="7" s="1"/>
  <c r="BK5" i="7"/>
  <c r="BM5" i="7" s="1"/>
  <c r="BO5" i="7" s="1"/>
  <c r="AO5" i="7"/>
  <c r="FE5" i="7" s="1"/>
  <c r="AN5" i="7"/>
  <c r="AJ5" i="7"/>
  <c r="Z5" i="7"/>
  <c r="R5" i="7"/>
  <c r="FI4" i="7"/>
  <c r="FG4" i="7"/>
  <c r="FF4" i="7"/>
  <c r="FD4" i="7"/>
  <c r="EX4" i="7"/>
  <c r="EW4" i="7"/>
  <c r="EV4" i="7"/>
  <c r="EK4" i="7"/>
  <c r="EJ4" i="7"/>
  <c r="EI4" i="7"/>
  <c r="EH4" i="7"/>
  <c r="EG4" i="7"/>
  <c r="EF4" i="7"/>
  <c r="EE4" i="7"/>
  <c r="ED4" i="7"/>
  <c r="EC4" i="7"/>
  <c r="EB4" i="7"/>
  <c r="EA4" i="7"/>
  <c r="DZ4" i="7"/>
  <c r="DY4" i="7"/>
  <c r="DX4" i="7"/>
  <c r="DW4" i="7"/>
  <c r="DV4" i="7"/>
  <c r="DU4" i="7"/>
  <c r="DT4" i="7"/>
  <c r="DS4" i="7"/>
  <c r="DR4" i="7"/>
  <c r="DQ4" i="7"/>
  <c r="DP4" i="7"/>
  <c r="DO4" i="7"/>
  <c r="DN4" i="7"/>
  <c r="DM4" i="7"/>
  <c r="DL4" i="7"/>
  <c r="DK4" i="7"/>
  <c r="DJ4" i="7"/>
  <c r="DI4" i="7"/>
  <c r="DH4" i="7"/>
  <c r="DG4" i="7"/>
  <c r="DF4" i="7"/>
  <c r="DE4" i="7"/>
  <c r="DD4" i="7"/>
  <c r="DC4" i="7"/>
  <c r="DB4" i="7"/>
  <c r="DA4" i="7"/>
  <c r="CZ4" i="7"/>
  <c r="CY4" i="7"/>
  <c r="CX4" i="7"/>
  <c r="CW4" i="7"/>
  <c r="CV4" i="7"/>
  <c r="CU4" i="7"/>
  <c r="CT4" i="7"/>
  <c r="CS4" i="7"/>
  <c r="CR4" i="7"/>
  <c r="CQ4" i="7"/>
  <c r="CP4" i="7"/>
  <c r="CO4" i="7"/>
  <c r="CN4" i="7"/>
  <c r="CM4" i="7"/>
  <c r="CL4" i="7"/>
  <c r="BS4" i="7"/>
  <c r="BU4" i="7" s="1"/>
  <c r="BK4" i="7"/>
  <c r="BM4" i="7" s="1"/>
  <c r="BO4" i="7" s="1"/>
  <c r="BX4" i="7" s="1"/>
  <c r="AO4" i="7"/>
  <c r="EY4" i="7" s="1"/>
  <c r="AN4" i="7"/>
  <c r="FH4" i="7" s="1"/>
  <c r="AJ4" i="7"/>
  <c r="Z4" i="7"/>
  <c r="R4" i="7"/>
  <c r="FI3" i="7"/>
  <c r="FG3" i="7"/>
  <c r="FF3" i="7"/>
  <c r="FD3" i="7"/>
  <c r="EX3" i="7"/>
  <c r="EW3" i="7"/>
  <c r="EV3" i="7"/>
  <c r="EK3" i="7"/>
  <c r="EJ3" i="7"/>
  <c r="EI3" i="7"/>
  <c r="EH3" i="7"/>
  <c r="EG3" i="7"/>
  <c r="EF3" i="7"/>
  <c r="EE3" i="7"/>
  <c r="ED3" i="7"/>
  <c r="EC3" i="7"/>
  <c r="EB3" i="7"/>
  <c r="EA3" i="7"/>
  <c r="DZ3" i="7"/>
  <c r="DY3" i="7"/>
  <c r="DX3" i="7"/>
  <c r="DW3" i="7"/>
  <c r="DV3" i="7"/>
  <c r="DU3" i="7"/>
  <c r="DT3" i="7"/>
  <c r="DS3" i="7"/>
  <c r="DR3" i="7"/>
  <c r="DQ3" i="7"/>
  <c r="DP3" i="7"/>
  <c r="DO3" i="7"/>
  <c r="DN3" i="7"/>
  <c r="DM3" i="7"/>
  <c r="DL3" i="7"/>
  <c r="DK3" i="7"/>
  <c r="DJ3" i="7"/>
  <c r="DI3" i="7"/>
  <c r="DH3" i="7"/>
  <c r="DG3" i="7"/>
  <c r="DF3" i="7"/>
  <c r="DE3" i="7"/>
  <c r="DD3" i="7"/>
  <c r="DC3" i="7"/>
  <c r="DB3" i="7"/>
  <c r="DA3" i="7"/>
  <c r="CZ3" i="7"/>
  <c r="CY3" i="7"/>
  <c r="CX3" i="7"/>
  <c r="CW3" i="7"/>
  <c r="CV3" i="7"/>
  <c r="CU3" i="7"/>
  <c r="CT3" i="7"/>
  <c r="CS3" i="7"/>
  <c r="CR3" i="7"/>
  <c r="CQ3" i="7"/>
  <c r="CP3" i="7"/>
  <c r="CO3" i="7"/>
  <c r="CN3" i="7"/>
  <c r="CM3" i="7"/>
  <c r="CL3" i="7"/>
  <c r="BS3" i="7"/>
  <c r="BU3" i="7" s="1"/>
  <c r="BK3" i="7"/>
  <c r="BM3" i="7" s="1"/>
  <c r="BO3" i="7" s="1"/>
  <c r="BX3" i="7" s="1"/>
  <c r="AO3" i="7"/>
  <c r="EY3" i="7" s="1"/>
  <c r="AN3" i="7"/>
  <c r="FH3" i="7" s="1"/>
  <c r="AJ3" i="7"/>
  <c r="Z3" i="7"/>
  <c r="R3" i="7"/>
  <c r="FI2" i="7"/>
  <c r="FG2" i="7"/>
  <c r="FF2" i="7"/>
  <c r="FD2" i="7"/>
  <c r="EX2" i="7"/>
  <c r="EW2" i="7"/>
  <c r="EV2" i="7"/>
  <c r="EK2" i="7"/>
  <c r="EJ2" i="7"/>
  <c r="EI2" i="7"/>
  <c r="EH2" i="7"/>
  <c r="EG2" i="7"/>
  <c r="EF2" i="7"/>
  <c r="EE2" i="7"/>
  <c r="ED2" i="7"/>
  <c r="EC2" i="7"/>
  <c r="EB2" i="7"/>
  <c r="EA2" i="7"/>
  <c r="DZ2" i="7"/>
  <c r="DY2" i="7"/>
  <c r="DX2" i="7"/>
  <c r="DW2" i="7"/>
  <c r="DV2" i="7"/>
  <c r="DU2" i="7"/>
  <c r="DT2" i="7"/>
  <c r="DS2" i="7"/>
  <c r="DR2" i="7"/>
  <c r="DQ2" i="7"/>
  <c r="DP2" i="7"/>
  <c r="DO2" i="7"/>
  <c r="DN2" i="7"/>
  <c r="DM2" i="7"/>
  <c r="DL2" i="7"/>
  <c r="DK2" i="7"/>
  <c r="DJ2" i="7"/>
  <c r="DI2" i="7"/>
  <c r="DH2" i="7"/>
  <c r="DG2" i="7"/>
  <c r="DF2" i="7"/>
  <c r="DE2" i="7"/>
  <c r="DD2" i="7"/>
  <c r="DC2" i="7"/>
  <c r="DB2" i="7"/>
  <c r="DA2" i="7"/>
  <c r="CZ2" i="7"/>
  <c r="CY2" i="7"/>
  <c r="CX2" i="7"/>
  <c r="CW2" i="7"/>
  <c r="CV2" i="7"/>
  <c r="CU2" i="7"/>
  <c r="CT2" i="7"/>
  <c r="CS2" i="7"/>
  <c r="CR2" i="7"/>
  <c r="CQ2" i="7"/>
  <c r="CP2" i="7"/>
  <c r="CO2" i="7"/>
  <c r="CN2" i="7"/>
  <c r="CM2" i="7"/>
  <c r="CL2" i="7"/>
  <c r="BS2" i="7"/>
  <c r="BU2" i="7" s="1"/>
  <c r="BK2" i="7"/>
  <c r="BM2" i="7" s="1"/>
  <c r="AO2" i="7"/>
  <c r="EY2" i="7" s="1"/>
  <c r="AN2" i="7"/>
  <c r="FB2" i="7" s="1"/>
  <c r="AJ2" i="7"/>
  <c r="Z2" i="7"/>
  <c r="R2" i="7"/>
  <c r="M168" i="7"/>
  <c r="M165" i="7"/>
  <c r="M166" i="7"/>
  <c r="M159" i="7"/>
  <c r="M144" i="7"/>
  <c r="M147" i="7"/>
  <c r="M136" i="7"/>
  <c r="M122" i="7"/>
  <c r="M142" i="7"/>
  <c r="M120" i="7"/>
  <c r="M143" i="7"/>
  <c r="M129" i="7"/>
  <c r="M106" i="7"/>
  <c r="M115" i="7"/>
  <c r="M127" i="7"/>
  <c r="M121" i="7"/>
  <c r="M96" i="7"/>
  <c r="M86" i="7"/>
  <c r="M125" i="7"/>
  <c r="M83" i="7"/>
  <c r="M101" i="7"/>
  <c r="M91" i="7"/>
  <c r="M76" i="7"/>
  <c r="M89" i="7"/>
  <c r="M66" i="7"/>
  <c r="M53" i="7"/>
  <c r="M43" i="7"/>
  <c r="M71" i="7"/>
  <c r="M44" i="7"/>
  <c r="M85" i="7"/>
  <c r="M59" i="7"/>
  <c r="M48" i="7"/>
  <c r="M33" i="7"/>
  <c r="M25" i="7"/>
  <c r="M10" i="7"/>
  <c r="M26" i="7"/>
  <c r="M9" i="7"/>
  <c r="M20" i="7"/>
  <c r="M4" i="7"/>
  <c r="M65" i="7"/>
  <c r="M32" i="7"/>
  <c r="M5" i="7"/>
  <c r="M161" i="7"/>
  <c r="M162" i="7"/>
  <c r="M155" i="7"/>
  <c r="M145" i="7"/>
  <c r="M152" i="7"/>
  <c r="M135" i="7"/>
  <c r="M140" i="7"/>
  <c r="M102" i="7"/>
  <c r="M123" i="7"/>
  <c r="M119" i="7"/>
  <c r="M82" i="7"/>
  <c r="M79" i="7"/>
  <c r="M88" i="7"/>
  <c r="M81" i="7"/>
  <c r="M63" i="7"/>
  <c r="M39" i="7"/>
  <c r="M40" i="7"/>
  <c r="M54" i="7"/>
  <c r="M31" i="7"/>
  <c r="M22" i="7"/>
  <c r="M24" i="7"/>
  <c r="M13" i="7"/>
  <c r="M61" i="7"/>
  <c r="M19" i="7"/>
  <c r="M157" i="7"/>
  <c r="M167" i="7"/>
  <c r="M128" i="7"/>
  <c r="M133" i="7"/>
  <c r="M138" i="7"/>
  <c r="M98" i="7"/>
  <c r="M116" i="7"/>
  <c r="M92" i="7"/>
  <c r="M75" i="7"/>
  <c r="M84" i="7"/>
  <c r="M73" i="7"/>
  <c r="M49" i="7"/>
  <c r="M60" i="7"/>
  <c r="M69" i="7"/>
  <c r="M41" i="7"/>
  <c r="M38" i="7"/>
  <c r="M3" i="7"/>
  <c r="M12" i="7"/>
  <c r="M23" i="7"/>
  <c r="M153" i="7"/>
  <c r="M148" i="7"/>
  <c r="M139" i="7"/>
  <c r="M149" i="7"/>
  <c r="M109" i="7"/>
  <c r="M110" i="7"/>
  <c r="M130" i="7"/>
  <c r="M90" i="7"/>
  <c r="M87" i="7"/>
  <c r="M93" i="7"/>
  <c r="M64" i="7"/>
  <c r="M70" i="7"/>
  <c r="M105" i="7"/>
  <c r="M99" i="7"/>
  <c r="M50" i="7"/>
  <c r="M27" i="7"/>
  <c r="M30" i="7"/>
  <c r="M56" i="7"/>
  <c r="M6" i="7"/>
  <c r="M16" i="7"/>
  <c r="M164" i="7"/>
  <c r="M146" i="7"/>
  <c r="M132" i="7"/>
  <c r="M117" i="7"/>
  <c r="M118" i="7"/>
  <c r="M107" i="7"/>
  <c r="M94" i="7"/>
  <c r="M112" i="7"/>
  <c r="M97" i="7"/>
  <c r="M72" i="7"/>
  <c r="M51" i="7"/>
  <c r="M67" i="7"/>
  <c r="M77" i="7"/>
  <c r="M45" i="7"/>
  <c r="M46" i="7"/>
  <c r="M7" i="7"/>
  <c r="M21" i="7"/>
  <c r="M28" i="7"/>
  <c r="M160" i="7"/>
  <c r="M158" i="7"/>
  <c r="M150" i="7"/>
  <c r="M141" i="7"/>
  <c r="M137" i="7"/>
  <c r="M113" i="7"/>
  <c r="M114" i="7"/>
  <c r="M104" i="7"/>
  <c r="M151" i="7"/>
  <c r="M78" i="7"/>
  <c r="M100" i="7"/>
  <c r="M95" i="7"/>
  <c r="M68" i="7"/>
  <c r="M58" i="7"/>
  <c r="M35" i="7"/>
  <c r="M36" i="7"/>
  <c r="M52" i="7"/>
  <c r="M29" i="7"/>
  <c r="M18" i="7"/>
  <c r="M17" i="7"/>
  <c r="M11" i="7"/>
  <c r="M42" i="7"/>
  <c r="M2" i="7"/>
  <c r="M156" i="7"/>
  <c r="M163" i="7"/>
  <c r="M154" i="7"/>
  <c r="M124" i="7"/>
  <c r="M126" i="7"/>
  <c r="M131" i="7"/>
  <c r="M134" i="7"/>
  <c r="M108" i="7"/>
  <c r="M111" i="7"/>
  <c r="M74" i="7"/>
  <c r="M103" i="7"/>
  <c r="M80" i="7"/>
  <c r="M55" i="7"/>
  <c r="M47" i="7"/>
  <c r="M57" i="7"/>
  <c r="M62" i="7"/>
  <c r="M37" i="7"/>
  <c r="M14" i="7"/>
  <c r="M15" i="7"/>
  <c r="M8" i="7"/>
  <c r="M34" i="7"/>
  <c r="K10" i="8" l="1"/>
  <c r="FE19" i="7"/>
  <c r="FA21" i="7"/>
  <c r="AU54" i="7"/>
  <c r="AU18" i="7"/>
  <c r="FE67" i="7"/>
  <c r="FA83" i="7"/>
  <c r="EY91" i="7"/>
  <c r="EZ88" i="7"/>
  <c r="FA106" i="7"/>
  <c r="AU11" i="7"/>
  <c r="EP42" i="7"/>
  <c r="AU44" i="7"/>
  <c r="FA90" i="7"/>
  <c r="FA97" i="7"/>
  <c r="FE148" i="7"/>
  <c r="AU88" i="7"/>
  <c r="FB88" i="7"/>
  <c r="FA89" i="7"/>
  <c r="FH116" i="7"/>
  <c r="FE128" i="7"/>
  <c r="AU129" i="7"/>
  <c r="EO161" i="7"/>
  <c r="FE165" i="7"/>
  <c r="FB45" i="7"/>
  <c r="FH45" i="7"/>
  <c r="FE2" i="7"/>
  <c r="EZ22" i="7"/>
  <c r="EY32" i="7"/>
  <c r="AU45" i="7"/>
  <c r="FA165" i="7"/>
  <c r="EZ7" i="7"/>
  <c r="BK11" i="7"/>
  <c r="BM11" i="7" s="1"/>
  <c r="BO11" i="7" s="1"/>
  <c r="BX11" i="7" s="1"/>
  <c r="FA11" i="7"/>
  <c r="FA34" i="7"/>
  <c r="AU57" i="7"/>
  <c r="AU59" i="7"/>
  <c r="AU83" i="7"/>
  <c r="AU87" i="7"/>
  <c r="FE114" i="7"/>
  <c r="FB126" i="7"/>
  <c r="BK132" i="7"/>
  <c r="BM132" i="7" s="1"/>
  <c r="BO132" i="7" s="1"/>
  <c r="BX132" i="7" s="1"/>
  <c r="FA135" i="7"/>
  <c r="EP9" i="7"/>
  <c r="BK23" i="7"/>
  <c r="BM23" i="7" s="1"/>
  <c r="BO23" i="7" s="1"/>
  <c r="FF23" i="7"/>
  <c r="EZ33" i="7"/>
  <c r="AU36" i="7"/>
  <c r="AU40" i="7"/>
  <c r="AU41" i="7"/>
  <c r="EP69" i="7"/>
  <c r="FE71" i="7"/>
  <c r="FA75" i="7"/>
  <c r="AU79" i="7"/>
  <c r="FH97" i="7"/>
  <c r="FC99" i="7"/>
  <c r="FA102" i="7"/>
  <c r="BK110" i="7"/>
  <c r="BM110" i="7" s="1"/>
  <c r="BO110" i="7" s="1"/>
  <c r="BX110" i="7" s="1"/>
  <c r="BY110" i="7" s="1"/>
  <c r="EQ110" i="7" s="1"/>
  <c r="EZ116" i="7"/>
  <c r="FF145" i="7"/>
  <c r="FH108" i="7"/>
  <c r="EY11" i="7"/>
  <c r="EZ18" i="7"/>
  <c r="FA23" i="7"/>
  <c r="EZ26" i="7"/>
  <c r="FA40" i="7"/>
  <c r="FB41" i="7"/>
  <c r="FH41" i="7"/>
  <c r="FC46" i="7"/>
  <c r="FA46" i="7"/>
  <c r="EY71" i="7"/>
  <c r="FC93" i="7"/>
  <c r="FF106" i="7"/>
  <c r="FE111" i="7"/>
  <c r="BK120" i="7"/>
  <c r="BM120" i="7" s="1"/>
  <c r="BO120" i="7" s="1"/>
  <c r="BX120" i="7" s="1"/>
  <c r="BY120" i="7" s="1"/>
  <c r="EQ120" i="7" s="1"/>
  <c r="EZ35" i="7"/>
  <c r="FA38" i="7"/>
  <c r="FE38" i="7"/>
  <c r="FE58" i="7"/>
  <c r="EY58" i="7"/>
  <c r="FA69" i="7"/>
  <c r="EY69" i="7"/>
  <c r="FH84" i="7"/>
  <c r="FB84" i="7"/>
  <c r="AU84" i="7"/>
  <c r="EZ84" i="7"/>
  <c r="FE94" i="7"/>
  <c r="FA94" i="7"/>
  <c r="FA131" i="7"/>
  <c r="EY131" i="7"/>
  <c r="FH134" i="7"/>
  <c r="FC134" i="7"/>
  <c r="FE159" i="7"/>
  <c r="EY159" i="7"/>
  <c r="EY161" i="7"/>
  <c r="FB166" i="7"/>
  <c r="FH166" i="7"/>
  <c r="EZ166" i="7"/>
  <c r="FB168" i="7"/>
  <c r="CN169" i="7"/>
  <c r="CR169" i="7"/>
  <c r="CV169" i="7"/>
  <c r="CZ169" i="7"/>
  <c r="DD169" i="7"/>
  <c r="DH169" i="7"/>
  <c r="DL169" i="7"/>
  <c r="DP169" i="7"/>
  <c r="DT169" i="7"/>
  <c r="DX169" i="7"/>
  <c r="EB169" i="7"/>
  <c r="EF169" i="7"/>
  <c r="EJ169" i="7"/>
  <c r="FE4" i="7"/>
  <c r="FF12" i="7"/>
  <c r="BK12" i="7"/>
  <c r="BM12" i="7" s="1"/>
  <c r="BO12" i="7" s="1"/>
  <c r="BX12" i="7" s="1"/>
  <c r="BY12" i="7" s="1"/>
  <c r="EQ12" i="7" s="1"/>
  <c r="FA15" i="7"/>
  <c r="FF15" i="7"/>
  <c r="FE15" i="7"/>
  <c r="FB22" i="7"/>
  <c r="FE25" i="7"/>
  <c r="FF25" i="7"/>
  <c r="AU33" i="7"/>
  <c r="FE34" i="7"/>
  <c r="FB35" i="7"/>
  <c r="FH75" i="7"/>
  <c r="AU75" i="7"/>
  <c r="FH78" i="7"/>
  <c r="FB78" i="7"/>
  <c r="EZ78" i="7"/>
  <c r="FA85" i="7"/>
  <c r="EY85" i="7"/>
  <c r="FH93" i="7"/>
  <c r="FB93" i="7"/>
  <c r="FA103" i="7"/>
  <c r="BK103" i="7"/>
  <c r="BM103" i="7" s="1"/>
  <c r="BO103" i="7" s="1"/>
  <c r="EP103" i="7" s="1"/>
  <c r="EZ109" i="7"/>
  <c r="FB133" i="7"/>
  <c r="EY138" i="7"/>
  <c r="FF139" i="7"/>
  <c r="EY139" i="7"/>
  <c r="FE158" i="7"/>
  <c r="EY158" i="7"/>
  <c r="FA167" i="7"/>
  <c r="EY167" i="7"/>
  <c r="FE167" i="7"/>
  <c r="FH168" i="7"/>
  <c r="FF16" i="7"/>
  <c r="BK16" i="7"/>
  <c r="BM16" i="7" s="1"/>
  <c r="BO16" i="7" s="1"/>
  <c r="EP16" i="7" s="1"/>
  <c r="FB23" i="7"/>
  <c r="AU23" i="7"/>
  <c r="FH10" i="7"/>
  <c r="FB10" i="7"/>
  <c r="FB13" i="7"/>
  <c r="AU13" i="7"/>
  <c r="FA42" i="7"/>
  <c r="EY42" i="7"/>
  <c r="FE42" i="7"/>
  <c r="FB50" i="7"/>
  <c r="AU52" i="7"/>
  <c r="FC52" i="7"/>
  <c r="FF56" i="7"/>
  <c r="FB67" i="7"/>
  <c r="EZ67" i="7"/>
  <c r="FH72" i="7"/>
  <c r="AU72" i="7"/>
  <c r="EZ72" i="7"/>
  <c r="EY79" i="7"/>
  <c r="FA79" i="7"/>
  <c r="FE95" i="7"/>
  <c r="EY95" i="7"/>
  <c r="EZ101" i="7"/>
  <c r="AU101" i="7"/>
  <c r="FA118" i="7"/>
  <c r="BK118" i="7"/>
  <c r="BM118" i="7" s="1"/>
  <c r="BO118" i="7" s="1"/>
  <c r="BX118" i="7" s="1"/>
  <c r="BY118" i="7" s="1"/>
  <c r="EQ118" i="7" s="1"/>
  <c r="EZ136" i="7"/>
  <c r="FB136" i="7"/>
  <c r="AU136" i="7"/>
  <c r="EZ144" i="7"/>
  <c r="FB144" i="7"/>
  <c r="FB160" i="7"/>
  <c r="AU160" i="7"/>
  <c r="EO160" i="7"/>
  <c r="EZ160" i="7"/>
  <c r="EZ3" i="7"/>
  <c r="FA4" i="7"/>
  <c r="EY15" i="7"/>
  <c r="FF19" i="7"/>
  <c r="BK19" i="7"/>
  <c r="BM19" i="7" s="1"/>
  <c r="BO19" i="7" s="1"/>
  <c r="BX19" i="7" s="1"/>
  <c r="BY19" i="7" s="1"/>
  <c r="EQ19" i="7" s="1"/>
  <c r="EY36" i="7"/>
  <c r="FA36" i="7"/>
  <c r="FB48" i="7"/>
  <c r="AU48" i="7"/>
  <c r="FF58" i="7"/>
  <c r="FE69" i="7"/>
  <c r="FE120" i="7"/>
  <c r="EZ124" i="7"/>
  <c r="AU124" i="7"/>
  <c r="FB131" i="7"/>
  <c r="FC131" i="7"/>
  <c r="FE141" i="7"/>
  <c r="EY141" i="7"/>
  <c r="EY143" i="7"/>
  <c r="FE161" i="7"/>
  <c r="EZ74" i="7"/>
  <c r="FC140" i="7"/>
  <c r="FH152" i="7"/>
  <c r="EO157" i="7"/>
  <c r="EZ157" i="7"/>
  <c r="FC7" i="7"/>
  <c r="FF11" i="7"/>
  <c r="EZ30" i="7"/>
  <c r="FC42" i="7"/>
  <c r="EZ64" i="7"/>
  <c r="EZ66" i="7"/>
  <c r="FE73" i="7"/>
  <c r="FB74" i="7"/>
  <c r="FE81" i="7"/>
  <c r="FC85" i="7"/>
  <c r="FC107" i="7"/>
  <c r="FH120" i="7"/>
  <c r="FE132" i="7"/>
  <c r="FB153" i="7"/>
  <c r="FH155" i="7"/>
  <c r="FB157" i="7"/>
  <c r="FH161" i="7"/>
  <c r="FB162" i="7"/>
  <c r="EZ14" i="7"/>
  <c r="EZ16" i="7"/>
  <c r="FB27" i="7"/>
  <c r="FC34" i="7"/>
  <c r="AU34" i="7"/>
  <c r="EY44" i="7"/>
  <c r="EZ62" i="7"/>
  <c r="AU62" i="7"/>
  <c r="FB62" i="7"/>
  <c r="FA2" i="7"/>
  <c r="EY6" i="7"/>
  <c r="EZ8" i="7"/>
  <c r="FB8" i="7"/>
  <c r="AU8" i="7"/>
  <c r="EY10" i="7"/>
  <c r="BK10" i="7"/>
  <c r="BM10" i="7" s="1"/>
  <c r="BO10" i="7" s="1"/>
  <c r="BX10" i="7" s="1"/>
  <c r="AU14" i="7"/>
  <c r="BK22" i="7"/>
  <c r="BM22" i="7" s="1"/>
  <c r="BO22" i="7" s="1"/>
  <c r="BX22" i="7" s="1"/>
  <c r="BY22" i="7" s="1"/>
  <c r="EQ22" i="7" s="1"/>
  <c r="EY31" i="7"/>
  <c r="FF31" i="7"/>
  <c r="EY38" i="7"/>
  <c r="FH43" i="7"/>
  <c r="FB43" i="7"/>
  <c r="EY50" i="7"/>
  <c r="EY57" i="7"/>
  <c r="FE57" i="7"/>
  <c r="EZ58" i="7"/>
  <c r="FB58" i="7"/>
  <c r="FB60" i="7"/>
  <c r="EZ60" i="7"/>
  <c r="AU60" i="7"/>
  <c r="EY61" i="7"/>
  <c r="FE61" i="7"/>
  <c r="FA64" i="7"/>
  <c r="BY67" i="7"/>
  <c r="EQ67" i="7" s="1"/>
  <c r="FA73" i="7"/>
  <c r="FE77" i="7"/>
  <c r="EY81" i="7"/>
  <c r="FH86" i="7"/>
  <c r="FB86" i="7"/>
  <c r="FE92" i="7"/>
  <c r="FA92" i="7"/>
  <c r="FA107" i="7"/>
  <c r="FC117" i="7"/>
  <c r="EZ117" i="7"/>
  <c r="AU117" i="7"/>
  <c r="FH122" i="7"/>
  <c r="FB122" i="7"/>
  <c r="FE125" i="7"/>
  <c r="BK125" i="7"/>
  <c r="BM125" i="7" s="1"/>
  <c r="BO125" i="7" s="1"/>
  <c r="EP125" i="7" s="1"/>
  <c r="FA125" i="7"/>
  <c r="EY125" i="7"/>
  <c r="FE129" i="7"/>
  <c r="EY129" i="7"/>
  <c r="FF129" i="7"/>
  <c r="BK129" i="7"/>
  <c r="BM129" i="7" s="1"/>
  <c r="BO129" i="7" s="1"/>
  <c r="FF133" i="7"/>
  <c r="FA133" i="7"/>
  <c r="FE133" i="7"/>
  <c r="BK133" i="7"/>
  <c r="BM133" i="7" s="1"/>
  <c r="BO133" i="7" s="1"/>
  <c r="EP133" i="7" s="1"/>
  <c r="FB156" i="7"/>
  <c r="EZ156" i="7"/>
  <c r="EO156" i="7"/>
  <c r="AU156" i="7"/>
  <c r="FH156" i="7"/>
  <c r="AU4" i="7"/>
  <c r="FC5" i="7"/>
  <c r="FH5" i="7"/>
  <c r="FB5" i="7"/>
  <c r="AU5" i="7"/>
  <c r="EZ5" i="7"/>
  <c r="FA6" i="7"/>
  <c r="AU10" i="7"/>
  <c r="EY13" i="7"/>
  <c r="FA13" i="7"/>
  <c r="EP15" i="7"/>
  <c r="EZ17" i="7"/>
  <c r="EZ20" i="7"/>
  <c r="FE22" i="7"/>
  <c r="EY23" i="7"/>
  <c r="EP27" i="7"/>
  <c r="EY27" i="7"/>
  <c r="FB31" i="7"/>
  <c r="FC37" i="7"/>
  <c r="FH37" i="7"/>
  <c r="FB37" i="7"/>
  <c r="AU37" i="7"/>
  <c r="EZ37" i="7"/>
  <c r="FH39" i="7"/>
  <c r="FB39" i="7"/>
  <c r="EZ43" i="7"/>
  <c r="EP46" i="7"/>
  <c r="BX46" i="7"/>
  <c r="BY46" i="7" s="1"/>
  <c r="EY54" i="7"/>
  <c r="FE60" i="7"/>
  <c r="EY60" i="7"/>
  <c r="FF60" i="7"/>
  <c r="FB63" i="7"/>
  <c r="FH63" i="7"/>
  <c r="FA65" i="7"/>
  <c r="EY65" i="7"/>
  <c r="FC68" i="7"/>
  <c r="FB68" i="7"/>
  <c r="EZ68" i="7"/>
  <c r="AU68" i="7"/>
  <c r="FH68" i="7"/>
  <c r="FC77" i="7"/>
  <c r="EY77" i="7"/>
  <c r="FC80" i="7"/>
  <c r="FH80" i="7"/>
  <c r="FB80" i="7"/>
  <c r="AU80" i="7"/>
  <c r="EZ80" i="7"/>
  <c r="FH82" i="7"/>
  <c r="FB82" i="7"/>
  <c r="EZ86" i="7"/>
  <c r="FH95" i="7"/>
  <c r="FC95" i="7"/>
  <c r="FB95" i="7"/>
  <c r="FE99" i="7"/>
  <c r="FF100" i="7"/>
  <c r="BK100" i="7"/>
  <c r="BM100" i="7" s="1"/>
  <c r="BO100" i="7" s="1"/>
  <c r="EP100" i="7" s="1"/>
  <c r="EZ104" i="7"/>
  <c r="FB104" i="7"/>
  <c r="FC106" i="7"/>
  <c r="AU106" i="7"/>
  <c r="FB106" i="7"/>
  <c r="FA137" i="7"/>
  <c r="BK137" i="7"/>
  <c r="BM137" i="7" s="1"/>
  <c r="BO137" i="7" s="1"/>
  <c r="FE137" i="7"/>
  <c r="EY137" i="7"/>
  <c r="FE145" i="7"/>
  <c r="EY145" i="7"/>
  <c r="FA145" i="7"/>
  <c r="FH149" i="7"/>
  <c r="FC149" i="7"/>
  <c r="EZ149" i="7"/>
  <c r="FF163" i="7"/>
  <c r="EY163" i="7"/>
  <c r="FE163" i="7"/>
  <c r="FB164" i="7"/>
  <c r="AU164" i="7"/>
  <c r="EZ164" i="7"/>
  <c r="FC31" i="7"/>
  <c r="FB32" i="7"/>
  <c r="FH32" i="7"/>
  <c r="FE68" i="7"/>
  <c r="FB69" i="7"/>
  <c r="AU69" i="7"/>
  <c r="FH70" i="7"/>
  <c r="FB70" i="7"/>
  <c r="EY87" i="7"/>
  <c r="FE93" i="7"/>
  <c r="EY93" i="7"/>
  <c r="FE96" i="7"/>
  <c r="FA96" i="7"/>
  <c r="FE107" i="7"/>
  <c r="EY107" i="7"/>
  <c r="FC110" i="7"/>
  <c r="AU110" i="7"/>
  <c r="FB110" i="7"/>
  <c r="FC115" i="7"/>
  <c r="BK115" i="7"/>
  <c r="BM115" i="7" s="1"/>
  <c r="BO115" i="7" s="1"/>
  <c r="EP115" i="7" s="1"/>
  <c r="FE115" i="7"/>
  <c r="EY115" i="7"/>
  <c r="FA115" i="7"/>
  <c r="EY144" i="7"/>
  <c r="FH144" i="7"/>
  <c r="FE144" i="7"/>
  <c r="BY159" i="7"/>
  <c r="EQ159" i="7" s="1"/>
  <c r="FH165" i="7"/>
  <c r="AU165" i="7"/>
  <c r="EZ10" i="7"/>
  <c r="FF20" i="7"/>
  <c r="BK20" i="7"/>
  <c r="BM20" i="7" s="1"/>
  <c r="BO20" i="7" s="1"/>
  <c r="EP20" i="7" s="1"/>
  <c r="FH22" i="7"/>
  <c r="FC27" i="7"/>
  <c r="EU27" i="7" s="1"/>
  <c r="EO27" i="7" s="1"/>
  <c r="FB28" i="7"/>
  <c r="FC28" i="7"/>
  <c r="EZ28" i="7"/>
  <c r="BK31" i="7"/>
  <c r="BM31" i="7" s="1"/>
  <c r="BO31" i="7" s="1"/>
  <c r="BX31" i="7" s="1"/>
  <c r="BY31" i="7" s="1"/>
  <c r="EQ31" i="7" s="1"/>
  <c r="FE33" i="7"/>
  <c r="FC38" i="7"/>
  <c r="EY40" i="7"/>
  <c r="FA44" i="7"/>
  <c r="EQ48" i="7"/>
  <c r="EY48" i="7"/>
  <c r="FC50" i="7"/>
  <c r="FF54" i="7"/>
  <c r="EP60" i="7"/>
  <c r="FE62" i="7"/>
  <c r="FF62" i="7"/>
  <c r="EY62" i="7"/>
  <c r="FC73" i="7"/>
  <c r="FC76" i="7"/>
  <c r="FH76" i="7"/>
  <c r="FB76" i="7"/>
  <c r="AU76" i="7"/>
  <c r="EZ76" i="7"/>
  <c r="FC81" i="7"/>
  <c r="EY83" i="7"/>
  <c r="FA87" i="7"/>
  <c r="FH91" i="7"/>
  <c r="FC91" i="7"/>
  <c r="FB91" i="7"/>
  <c r="FH98" i="7"/>
  <c r="FB98" i="7"/>
  <c r="AU98" i="7"/>
  <c r="EY99" i="7"/>
  <c r="FC102" i="7"/>
  <c r="AU102" i="7"/>
  <c r="FB102" i="7"/>
  <c r="BK107" i="7"/>
  <c r="BM107" i="7" s="1"/>
  <c r="BO107" i="7" s="1"/>
  <c r="BX107" i="7" s="1"/>
  <c r="BY107" i="7" s="1"/>
  <c r="EQ107" i="7" s="1"/>
  <c r="FF107" i="7"/>
  <c r="FC114" i="7"/>
  <c r="EZ114" i="7"/>
  <c r="AU114" i="7"/>
  <c r="FF121" i="7"/>
  <c r="BK121" i="7"/>
  <c r="BM121" i="7" s="1"/>
  <c r="BO121" i="7" s="1"/>
  <c r="EP121" i="7" s="1"/>
  <c r="FE121" i="7"/>
  <c r="FA129" i="7"/>
  <c r="FH139" i="7"/>
  <c r="FB139" i="7"/>
  <c r="FC139" i="7"/>
  <c r="BK144" i="7"/>
  <c r="BM144" i="7" s="1"/>
  <c r="BO144" i="7" s="1"/>
  <c r="EP144" i="7" s="1"/>
  <c r="FE154" i="7"/>
  <c r="EY154" i="7"/>
  <c r="FA154" i="7"/>
  <c r="EP155" i="7"/>
  <c r="BX155" i="7"/>
  <c r="BY155" i="7" s="1"/>
  <c r="EQ155" i="7" s="1"/>
  <c r="FH158" i="7"/>
  <c r="FB158" i="7"/>
  <c r="AU158" i="7"/>
  <c r="EO158" i="7"/>
  <c r="FE166" i="7"/>
  <c r="FF166" i="7"/>
  <c r="BK166" i="7"/>
  <c r="BM166" i="7" s="1"/>
  <c r="BO166" i="7" s="1"/>
  <c r="FC3" i="7"/>
  <c r="FH9" i="7"/>
  <c r="EY19" i="7"/>
  <c r="FC22" i="7"/>
  <c r="FB29" i="7"/>
  <c r="FE36" i="7"/>
  <c r="FC41" i="7"/>
  <c r="FC45" i="7"/>
  <c r="EY46" i="7"/>
  <c r="FH49" i="7"/>
  <c r="EP50" i="7"/>
  <c r="FH52" i="7"/>
  <c r="EY52" i="7"/>
  <c r="EZ53" i="7"/>
  <c r="EP54" i="7"/>
  <c r="EZ54" i="7"/>
  <c r="FB64" i="7"/>
  <c r="EP70" i="7"/>
  <c r="FB72" i="7"/>
  <c r="FE75" i="7"/>
  <c r="FE79" i="7"/>
  <c r="FC84" i="7"/>
  <c r="FC88" i="7"/>
  <c r="EU88" i="7" s="1"/>
  <c r="EO88" i="7" s="1"/>
  <c r="EY89" i="7"/>
  <c r="FC103" i="7"/>
  <c r="EY103" i="7"/>
  <c r="FF103" i="7"/>
  <c r="FH106" i="7"/>
  <c r="EU106" i="7" s="1"/>
  <c r="EO106" i="7" s="1"/>
  <c r="BK106" i="7"/>
  <c r="BM106" i="7" s="1"/>
  <c r="BO106" i="7" s="1"/>
  <c r="BX106" i="7" s="1"/>
  <c r="FF111" i="7"/>
  <c r="FA111" i="7"/>
  <c r="BK111" i="7"/>
  <c r="BM111" i="7" s="1"/>
  <c r="BO111" i="7" s="1"/>
  <c r="BX111" i="7" s="1"/>
  <c r="BY111" i="7" s="1"/>
  <c r="FH118" i="7"/>
  <c r="FE118" i="7"/>
  <c r="FF118" i="7"/>
  <c r="EZ146" i="7"/>
  <c r="FB146" i="7"/>
  <c r="FB147" i="7"/>
  <c r="EZ147" i="7"/>
  <c r="FE152" i="7"/>
  <c r="EY152" i="7"/>
  <c r="FC33" i="7"/>
  <c r="FH33" i="7"/>
  <c r="EP38" i="7"/>
  <c r="FH48" i="7"/>
  <c r="FC48" i="7"/>
  <c r="FH50" i="7"/>
  <c r="FB53" i="7"/>
  <c r="EP55" i="7"/>
  <c r="EY56" i="7"/>
  <c r="FC57" i="7"/>
  <c r="EP59" i="7"/>
  <c r="FH59" i="7"/>
  <c r="EP62" i="7"/>
  <c r="EP71" i="7"/>
  <c r="EZ97" i="7"/>
  <c r="FC113" i="7"/>
  <c r="EZ113" i="7"/>
  <c r="FE123" i="7"/>
  <c r="EY123" i="7"/>
  <c r="FF124" i="7"/>
  <c r="FE124" i="7"/>
  <c r="FC128" i="7"/>
  <c r="EZ128" i="7"/>
  <c r="FB128" i="7"/>
  <c r="FH128" i="7"/>
  <c r="FC132" i="7"/>
  <c r="EZ132" i="7"/>
  <c r="FB132" i="7"/>
  <c r="FH132" i="7"/>
  <c r="FB135" i="7"/>
  <c r="EZ135" i="7"/>
  <c r="FB138" i="7"/>
  <c r="FH138" i="7"/>
  <c r="FC138" i="7"/>
  <c r="BK140" i="7"/>
  <c r="BM140" i="7" s="1"/>
  <c r="BO140" i="7" s="1"/>
  <c r="EP140" i="7" s="1"/>
  <c r="EY140" i="7"/>
  <c r="FH141" i="7"/>
  <c r="FB141" i="7"/>
  <c r="FC141" i="7"/>
  <c r="EZ155" i="7"/>
  <c r="FH157" i="7"/>
  <c r="FE157" i="7"/>
  <c r="FA157" i="7"/>
  <c r="FH160" i="7"/>
  <c r="FH105" i="7"/>
  <c r="FC109" i="7"/>
  <c r="FH110" i="7"/>
  <c r="FA110" i="7"/>
  <c r="FF110" i="7"/>
  <c r="AU118" i="7"/>
  <c r="EP120" i="7"/>
  <c r="FA120" i="7"/>
  <c r="FF120" i="7"/>
  <c r="FC124" i="7"/>
  <c r="FB124" i="7"/>
  <c r="BK128" i="7"/>
  <c r="BM128" i="7" s="1"/>
  <c r="BO128" i="7" s="1"/>
  <c r="BX128" i="7" s="1"/>
  <c r="AU131" i="7"/>
  <c r="AU144" i="7"/>
  <c r="AU145" i="7"/>
  <c r="AU153" i="7"/>
  <c r="EO153" i="7"/>
  <c r="FH164" i="7"/>
  <c r="EY165" i="7"/>
  <c r="FF165" i="7"/>
  <c r="FH114" i="7"/>
  <c r="FA114" i="7"/>
  <c r="FF114" i="7"/>
  <c r="FC118" i="7"/>
  <c r="EZ118" i="7"/>
  <c r="EY119" i="7"/>
  <c r="FH131" i="7"/>
  <c r="FH140" i="7"/>
  <c r="EU140" i="7" s="1"/>
  <c r="EO140" i="7" s="1"/>
  <c r="FC144" i="7"/>
  <c r="FE149" i="7"/>
  <c r="AU162" i="7"/>
  <c r="EO162" i="7"/>
  <c r="AU168" i="7"/>
  <c r="EO168" i="7"/>
  <c r="EP5" i="7"/>
  <c r="BX5" i="7"/>
  <c r="EP34" i="7"/>
  <c r="BX34" i="7"/>
  <c r="BY15" i="7"/>
  <c r="EQ15" i="7" s="1"/>
  <c r="EP25" i="7"/>
  <c r="BX25" i="7"/>
  <c r="EP28" i="7"/>
  <c r="BX28" i="7"/>
  <c r="EP29" i="7"/>
  <c r="BX29" i="7"/>
  <c r="BY7" i="7"/>
  <c r="EQ7" i="7" s="1"/>
  <c r="BY8" i="7"/>
  <c r="EQ8" i="7" s="1"/>
  <c r="BY11" i="7"/>
  <c r="EQ11" i="7" s="1"/>
  <c r="EP23" i="7"/>
  <c r="BX23" i="7"/>
  <c r="BY52" i="7"/>
  <c r="EQ52" i="7" s="1"/>
  <c r="BY3" i="7"/>
  <c r="EQ3" i="7" s="1"/>
  <c r="BY4" i="7"/>
  <c r="EQ4" i="7" s="1"/>
  <c r="EP6" i="7"/>
  <c r="BX6" i="7"/>
  <c r="BY26" i="7"/>
  <c r="EQ26" i="7" s="1"/>
  <c r="BY27" i="7"/>
  <c r="EQ27" i="7" s="1"/>
  <c r="BY30" i="7"/>
  <c r="EQ30" i="7" s="1"/>
  <c r="FC2" i="7"/>
  <c r="FC6" i="7"/>
  <c r="FC12" i="7"/>
  <c r="FH12" i="7"/>
  <c r="FF18" i="7"/>
  <c r="FF24" i="7"/>
  <c r="BK24" i="7"/>
  <c r="BM24" i="7" s="1"/>
  <c r="BO24" i="7" s="1"/>
  <c r="FA24" i="7"/>
  <c r="FE26" i="7"/>
  <c r="FE30" i="7"/>
  <c r="EP35" i="7"/>
  <c r="BX36" i="7"/>
  <c r="EP36" i="7"/>
  <c r="BY37" i="7"/>
  <c r="EQ37" i="7" s="1"/>
  <c r="BX39" i="7"/>
  <c r="EP39" i="7"/>
  <c r="EY43" i="7"/>
  <c r="FE43" i="7"/>
  <c r="FA43" i="7"/>
  <c r="BX44" i="7"/>
  <c r="EP44" i="7"/>
  <c r="BY45" i="7"/>
  <c r="EQ45" i="7" s="1"/>
  <c r="BX49" i="7"/>
  <c r="EP49" i="7"/>
  <c r="FC51" i="7"/>
  <c r="EY51" i="7"/>
  <c r="FF51" i="7"/>
  <c r="FA51" i="7"/>
  <c r="BY54" i="7"/>
  <c r="EQ54" i="7" s="1"/>
  <c r="EY55" i="7"/>
  <c r="FE55" i="7"/>
  <c r="FH55" i="7"/>
  <c r="BY58" i="7"/>
  <c r="EQ58" i="7" s="1"/>
  <c r="BX61" i="7"/>
  <c r="EP61" i="7"/>
  <c r="BY65" i="7"/>
  <c r="EQ65" i="7" s="1"/>
  <c r="BY73" i="7"/>
  <c r="EQ73" i="7" s="1"/>
  <c r="EY86" i="7"/>
  <c r="FE86" i="7"/>
  <c r="FA86" i="7"/>
  <c r="BX88" i="7"/>
  <c r="EP88" i="7"/>
  <c r="BX90" i="7"/>
  <c r="EP90" i="7"/>
  <c r="BY91" i="7"/>
  <c r="EQ91" i="7" s="1"/>
  <c r="BX94" i="7"/>
  <c r="EP94" i="7"/>
  <c r="BY95" i="7"/>
  <c r="EQ95" i="7" s="1"/>
  <c r="BX121" i="7"/>
  <c r="BO2" i="7"/>
  <c r="CO169" i="7"/>
  <c r="CS169" i="7"/>
  <c r="CW169" i="7"/>
  <c r="DA169" i="7"/>
  <c r="DE169" i="7"/>
  <c r="DI169" i="7"/>
  <c r="DM169" i="7"/>
  <c r="DQ169" i="7"/>
  <c r="DU169" i="7"/>
  <c r="DY169" i="7"/>
  <c r="EC169" i="7"/>
  <c r="EG169" i="7"/>
  <c r="EK169" i="7"/>
  <c r="EZ2" i="7"/>
  <c r="FH2" i="7"/>
  <c r="AU3" i="7"/>
  <c r="FA3" i="7"/>
  <c r="FE3" i="7"/>
  <c r="EP4" i="7"/>
  <c r="FB4" i="7"/>
  <c r="EY5" i="7"/>
  <c r="EZ6" i="7"/>
  <c r="FH6" i="7"/>
  <c r="AU7" i="7"/>
  <c r="FA7" i="7"/>
  <c r="FE7" i="7"/>
  <c r="EP8" i="7"/>
  <c r="FC8" i="7"/>
  <c r="FH8" i="7"/>
  <c r="AU9" i="7"/>
  <c r="EZ9" i="7"/>
  <c r="FE9" i="7"/>
  <c r="FC10" i="7"/>
  <c r="FE10" i="7"/>
  <c r="FE12" i="7"/>
  <c r="FA12" i="7"/>
  <c r="EY12" i="7"/>
  <c r="FC13" i="7"/>
  <c r="FH13" i="7"/>
  <c r="BK14" i="7"/>
  <c r="BM14" i="7" s="1"/>
  <c r="BO14" i="7" s="1"/>
  <c r="FH14" i="7"/>
  <c r="AU15" i="7"/>
  <c r="AU16" i="7"/>
  <c r="FC16" i="7"/>
  <c r="FH16" i="7"/>
  <c r="AU17" i="7"/>
  <c r="FF21" i="7"/>
  <c r="BK21" i="7"/>
  <c r="BM21" i="7" s="1"/>
  <c r="BO21" i="7" s="1"/>
  <c r="EZ21" i="7"/>
  <c r="FE21" i="7"/>
  <c r="FA22" i="7"/>
  <c r="FF22" i="7"/>
  <c r="FH23" i="7"/>
  <c r="EZ23" i="7"/>
  <c r="FC23" i="7"/>
  <c r="FC24" i="7"/>
  <c r="FH24" i="7"/>
  <c r="FC25" i="7"/>
  <c r="FA26" i="7"/>
  <c r="FA27" i="7"/>
  <c r="EY28" i="7"/>
  <c r="FH28" i="7"/>
  <c r="FC29" i="7"/>
  <c r="EU29" i="7" s="1"/>
  <c r="EO29" i="7" s="1"/>
  <c r="FA30" i="7"/>
  <c r="FA31" i="7"/>
  <c r="EZ32" i="7"/>
  <c r="EP33" i="7"/>
  <c r="FA33" i="7"/>
  <c r="FB34" i="7"/>
  <c r="FH34" i="7"/>
  <c r="EZ34" i="7"/>
  <c r="FC35" i="7"/>
  <c r="EQ38" i="7"/>
  <c r="FC39" i="7"/>
  <c r="EP41" i="7"/>
  <c r="FB42" i="7"/>
  <c r="AU42" i="7"/>
  <c r="FH42" i="7"/>
  <c r="EZ42" i="7"/>
  <c r="FH47" i="7"/>
  <c r="EP48" i="7"/>
  <c r="EQ50" i="7"/>
  <c r="BX51" i="7"/>
  <c r="EP51" i="7"/>
  <c r="EY53" i="7"/>
  <c r="FF53" i="7"/>
  <c r="FA53" i="7"/>
  <c r="FA55" i="7"/>
  <c r="BX56" i="7"/>
  <c r="EP56" i="7"/>
  <c r="FC61" i="7"/>
  <c r="FH61" i="7"/>
  <c r="FB61" i="7"/>
  <c r="AU61" i="7"/>
  <c r="FH65" i="7"/>
  <c r="EZ65" i="7"/>
  <c r="FC65" i="7"/>
  <c r="FE66" i="7"/>
  <c r="FA66" i="7"/>
  <c r="EY66" i="7"/>
  <c r="BY70" i="7"/>
  <c r="EQ70" i="7" s="1"/>
  <c r="EP77" i="7"/>
  <c r="BX77" i="7"/>
  <c r="BX79" i="7"/>
  <c r="EP79" i="7"/>
  <c r="BY81" i="7"/>
  <c r="EQ81" i="7" s="1"/>
  <c r="EY9" i="7"/>
  <c r="FF17" i="7"/>
  <c r="BK17" i="7"/>
  <c r="BM17" i="7" s="1"/>
  <c r="BO17" i="7" s="1"/>
  <c r="FC19" i="7"/>
  <c r="AU2" i="7"/>
  <c r="CL169" i="7"/>
  <c r="CP169" i="7"/>
  <c r="CT169" i="7"/>
  <c r="CX169" i="7"/>
  <c r="DB169" i="7"/>
  <c r="DF169" i="7"/>
  <c r="DJ169" i="7"/>
  <c r="DN169" i="7"/>
  <c r="DR169" i="7"/>
  <c r="DV169" i="7"/>
  <c r="DZ169" i="7"/>
  <c r="ED169" i="7"/>
  <c r="EH169" i="7"/>
  <c r="EP3" i="7"/>
  <c r="FB3" i="7"/>
  <c r="FC4" i="7"/>
  <c r="AU6" i="7"/>
  <c r="EP7" i="7"/>
  <c r="FB7" i="7"/>
  <c r="BX9" i="7"/>
  <c r="FA10" i="7"/>
  <c r="FF10" i="7"/>
  <c r="FH11" i="7"/>
  <c r="EZ11" i="7"/>
  <c r="FC11" i="7"/>
  <c r="FC14" i="7"/>
  <c r="FE14" i="7"/>
  <c r="FE16" i="7"/>
  <c r="FA16" i="7"/>
  <c r="EY16" i="7"/>
  <c r="FC17" i="7"/>
  <c r="FH17" i="7"/>
  <c r="BK18" i="7"/>
  <c r="BM18" i="7" s="1"/>
  <c r="BO18" i="7" s="1"/>
  <c r="FH18" i="7"/>
  <c r="AU20" i="7"/>
  <c r="FC20" i="7"/>
  <c r="FH20" i="7"/>
  <c r="AU21" i="7"/>
  <c r="EY24" i="7"/>
  <c r="FH25" i="7"/>
  <c r="EY25" i="7"/>
  <c r="FC26" i="7"/>
  <c r="FE28" i="7"/>
  <c r="EY29" i="7"/>
  <c r="FC30" i="7"/>
  <c r="FF32" i="7"/>
  <c r="BK32" i="7"/>
  <c r="BM32" i="7" s="1"/>
  <c r="BO32" i="7" s="1"/>
  <c r="FA32" i="7"/>
  <c r="EY35" i="7"/>
  <c r="FE35" i="7"/>
  <c r="FA35" i="7"/>
  <c r="EY39" i="7"/>
  <c r="FE39" i="7"/>
  <c r="FA39" i="7"/>
  <c r="BX40" i="7"/>
  <c r="EP40" i="7"/>
  <c r="BY41" i="7"/>
  <c r="EQ41" i="7" s="1"/>
  <c r="BX42" i="7"/>
  <c r="BX43" i="7"/>
  <c r="EP43" i="7"/>
  <c r="FC47" i="7"/>
  <c r="EY47" i="7"/>
  <c r="FF47" i="7"/>
  <c r="FA47" i="7"/>
  <c r="FE51" i="7"/>
  <c r="BX53" i="7"/>
  <c r="EP53" i="7"/>
  <c r="FB56" i="7"/>
  <c r="EZ56" i="7"/>
  <c r="AU56" i="7"/>
  <c r="FC56" i="7"/>
  <c r="FH56" i="7"/>
  <c r="BY62" i="7"/>
  <c r="EQ62" i="7" s="1"/>
  <c r="FA63" i="7"/>
  <c r="FE63" i="7"/>
  <c r="EY63" i="7"/>
  <c r="BX68" i="7"/>
  <c r="EP68" i="7"/>
  <c r="BX69" i="7"/>
  <c r="BX74" i="7"/>
  <c r="EP74" i="7"/>
  <c r="EP85" i="7"/>
  <c r="BX85" i="7"/>
  <c r="BX87" i="7"/>
  <c r="EP87" i="7"/>
  <c r="BY89" i="7"/>
  <c r="EQ89" i="7" s="1"/>
  <c r="BX92" i="7"/>
  <c r="EP92" i="7"/>
  <c r="BY93" i="7"/>
  <c r="EQ93" i="7" s="1"/>
  <c r="BX96" i="7"/>
  <c r="EP96" i="7"/>
  <c r="BY97" i="7"/>
  <c r="EQ97" i="7" s="1"/>
  <c r="AU12" i="7"/>
  <c r="FE17" i="7"/>
  <c r="FA18" i="7"/>
  <c r="FH19" i="7"/>
  <c r="EZ19" i="7"/>
  <c r="BU169" i="7"/>
  <c r="CM169" i="7"/>
  <c r="CQ169" i="7"/>
  <c r="CU169" i="7"/>
  <c r="CY169" i="7"/>
  <c r="DC169" i="7"/>
  <c r="DG169" i="7"/>
  <c r="DK169" i="7"/>
  <c r="DO169" i="7"/>
  <c r="DS169" i="7"/>
  <c r="DW169" i="7"/>
  <c r="EA169" i="7"/>
  <c r="EE169" i="7"/>
  <c r="EI169" i="7"/>
  <c r="EZ4" i="7"/>
  <c r="FA5" i="7"/>
  <c r="FE8" i="7"/>
  <c r="FA8" i="7"/>
  <c r="FC9" i="7"/>
  <c r="FB12" i="7"/>
  <c r="FF13" i="7"/>
  <c r="BK13" i="7"/>
  <c r="BM13" i="7" s="1"/>
  <c r="BO13" i="7" s="1"/>
  <c r="FE13" i="7"/>
  <c r="FA14" i="7"/>
  <c r="FF14" i="7"/>
  <c r="FH15" i="7"/>
  <c r="EZ15" i="7"/>
  <c r="FC15" i="7"/>
  <c r="EY17" i="7"/>
  <c r="FC18" i="7"/>
  <c r="FE18" i="7"/>
  <c r="FB19" i="7"/>
  <c r="FE20" i="7"/>
  <c r="FA20" i="7"/>
  <c r="EY20" i="7"/>
  <c r="FC21" i="7"/>
  <c r="FH21" i="7"/>
  <c r="EZ24" i="7"/>
  <c r="FE24" i="7"/>
  <c r="FA25" i="7"/>
  <c r="EP26" i="7"/>
  <c r="FH26" i="7"/>
  <c r="FA29" i="7"/>
  <c r="EP30" i="7"/>
  <c r="FH30" i="7"/>
  <c r="FC32" i="7"/>
  <c r="BY33" i="7"/>
  <c r="EQ33" i="7" s="1"/>
  <c r="BY35" i="7"/>
  <c r="EQ35" i="7" s="1"/>
  <c r="EP37" i="7"/>
  <c r="FB38" i="7"/>
  <c r="AU38" i="7"/>
  <c r="FH38" i="7"/>
  <c r="EZ38" i="7"/>
  <c r="FC43" i="7"/>
  <c r="EP45" i="7"/>
  <c r="FB46" i="7"/>
  <c r="AU46" i="7"/>
  <c r="FH46" i="7"/>
  <c r="EU46" i="7" s="1"/>
  <c r="EO46" i="7" s="1"/>
  <c r="EZ46" i="7"/>
  <c r="BX47" i="7"/>
  <c r="EP47" i="7"/>
  <c r="FC49" i="7"/>
  <c r="EY49" i="7"/>
  <c r="FF49" i="7"/>
  <c r="FA49" i="7"/>
  <c r="FH51" i="7"/>
  <c r="EP52" i="7"/>
  <c r="FF55" i="7"/>
  <c r="EP58" i="7"/>
  <c r="FB65" i="7"/>
  <c r="FC66" i="7"/>
  <c r="EY70" i="7"/>
  <c r="FE70" i="7"/>
  <c r="FA70" i="7"/>
  <c r="BY71" i="7"/>
  <c r="EQ71" i="7" s="1"/>
  <c r="FE72" i="7"/>
  <c r="FA72" i="7"/>
  <c r="EY72" i="7"/>
  <c r="EY78" i="7"/>
  <c r="FE78" i="7"/>
  <c r="FA78" i="7"/>
  <c r="BX80" i="7"/>
  <c r="EP80" i="7"/>
  <c r="BX82" i="7"/>
  <c r="EP82" i="7"/>
  <c r="BX99" i="7"/>
  <c r="EP99" i="7"/>
  <c r="EZ25" i="7"/>
  <c r="EZ27" i="7"/>
  <c r="EZ29" i="7"/>
  <c r="EZ31" i="7"/>
  <c r="AU35" i="7"/>
  <c r="FB36" i="7"/>
  <c r="EY37" i="7"/>
  <c r="AU39" i="7"/>
  <c r="FB40" i="7"/>
  <c r="EY41" i="7"/>
  <c r="AU43" i="7"/>
  <c r="FB44" i="7"/>
  <c r="EY45" i="7"/>
  <c r="AU47" i="7"/>
  <c r="FB47" i="7"/>
  <c r="EZ48" i="7"/>
  <c r="AU49" i="7"/>
  <c r="FB49" i="7"/>
  <c r="EZ50" i="7"/>
  <c r="AU51" i="7"/>
  <c r="FB51" i="7"/>
  <c r="EZ52" i="7"/>
  <c r="FC54" i="7"/>
  <c r="FH54" i="7"/>
  <c r="AU55" i="7"/>
  <c r="FH57" i="7"/>
  <c r="AU58" i="7"/>
  <c r="FC59" i="7"/>
  <c r="EQ59" i="7"/>
  <c r="EZ59" i="7"/>
  <c r="FE59" i="7"/>
  <c r="BX60" i="7"/>
  <c r="FA61" i="7"/>
  <c r="FF61" i="7"/>
  <c r="FC62" i="7"/>
  <c r="FH62" i="7"/>
  <c r="EQ63" i="7"/>
  <c r="EZ63" i="7"/>
  <c r="FC64" i="7"/>
  <c r="EQ64" i="7"/>
  <c r="FA67" i="7"/>
  <c r="FA68" i="7"/>
  <c r="FH69" i="7"/>
  <c r="EZ69" i="7"/>
  <c r="FC69" i="7"/>
  <c r="FC74" i="7"/>
  <c r="EP76" i="7"/>
  <c r="FB77" i="7"/>
  <c r="AU77" i="7"/>
  <c r="FH77" i="7"/>
  <c r="EZ77" i="7"/>
  <c r="FC82" i="7"/>
  <c r="EP84" i="7"/>
  <c r="FB85" i="7"/>
  <c r="AU85" i="7"/>
  <c r="FH85" i="7"/>
  <c r="EZ85" i="7"/>
  <c r="EY98" i="7"/>
  <c r="FE98" i="7"/>
  <c r="EP98" i="7"/>
  <c r="FH99" i="7"/>
  <c r="EZ99" i="7"/>
  <c r="FB99" i="7"/>
  <c r="AU99" i="7"/>
  <c r="FC36" i="7"/>
  <c r="EU36" i="7" s="1"/>
  <c r="EO36" i="7" s="1"/>
  <c r="FC40" i="7"/>
  <c r="EU40" i="7" s="1"/>
  <c r="EO40" i="7" s="1"/>
  <c r="FC44" i="7"/>
  <c r="EU44" i="7" s="1"/>
  <c r="EO44" i="7" s="1"/>
  <c r="FA48" i="7"/>
  <c r="FE48" i="7"/>
  <c r="FA50" i="7"/>
  <c r="FE50" i="7"/>
  <c r="FA52" i="7"/>
  <c r="FE52" i="7"/>
  <c r="EQ57" i="7"/>
  <c r="EZ57" i="7"/>
  <c r="FA59" i="7"/>
  <c r="FF59" i="7"/>
  <c r="FC60" i="7"/>
  <c r="FH60" i="7"/>
  <c r="FC67" i="7"/>
  <c r="FH71" i="7"/>
  <c r="EZ71" i="7"/>
  <c r="FB71" i="7"/>
  <c r="FC71" i="7"/>
  <c r="EP73" i="7"/>
  <c r="EY74" i="7"/>
  <c r="FE74" i="7"/>
  <c r="FA74" i="7"/>
  <c r="BX75" i="7"/>
  <c r="EP75" i="7"/>
  <c r="BY76" i="7"/>
  <c r="EQ76" i="7" s="1"/>
  <c r="BX78" i="7"/>
  <c r="EP78" i="7"/>
  <c r="EP81" i="7"/>
  <c r="EY82" i="7"/>
  <c r="FE82" i="7"/>
  <c r="FA82" i="7"/>
  <c r="BX83" i="7"/>
  <c r="EP83" i="7"/>
  <c r="BY84" i="7"/>
  <c r="EQ84" i="7" s="1"/>
  <c r="BX86" i="7"/>
  <c r="EP86" i="7"/>
  <c r="EP89" i="7"/>
  <c r="FC90" i="7"/>
  <c r="EU90" i="7" s="1"/>
  <c r="EO90" i="7" s="1"/>
  <c r="EY90" i="7"/>
  <c r="FC92" i="7"/>
  <c r="EY92" i="7"/>
  <c r="FC94" i="7"/>
  <c r="EY94" i="7"/>
  <c r="FC96" i="7"/>
  <c r="EU96" i="7" s="1"/>
  <c r="EO96" i="7" s="1"/>
  <c r="EY96" i="7"/>
  <c r="FE104" i="7"/>
  <c r="FA104" i="7"/>
  <c r="FF104" i="7"/>
  <c r="EY104" i="7"/>
  <c r="BK104" i="7"/>
  <c r="BM104" i="7" s="1"/>
  <c r="BO104" i="7" s="1"/>
  <c r="FC105" i="7"/>
  <c r="FB105" i="7"/>
  <c r="AU105" i="7"/>
  <c r="BX115" i="7"/>
  <c r="EP119" i="7"/>
  <c r="BX119" i="7"/>
  <c r="EZ36" i="7"/>
  <c r="FA37" i="7"/>
  <c r="EZ40" i="7"/>
  <c r="FA41" i="7"/>
  <c r="EZ44" i="7"/>
  <c r="FA45" i="7"/>
  <c r="EZ47" i="7"/>
  <c r="EZ49" i="7"/>
  <c r="EZ51" i="7"/>
  <c r="FC53" i="7"/>
  <c r="FH53" i="7"/>
  <c r="FC55" i="7"/>
  <c r="EQ55" i="7"/>
  <c r="EZ55" i="7"/>
  <c r="EP57" i="7"/>
  <c r="FA57" i="7"/>
  <c r="FF57" i="7"/>
  <c r="FC58" i="7"/>
  <c r="FH58" i="7"/>
  <c r="FC63" i="7"/>
  <c r="FE64" i="7"/>
  <c r="FB66" i="7"/>
  <c r="FH67" i="7"/>
  <c r="FC70" i="7"/>
  <c r="AU70" i="7"/>
  <c r="EZ70" i="7"/>
  <c r="FC72" i="7"/>
  <c r="EQ72" i="7"/>
  <c r="EP72" i="7"/>
  <c r="FB73" i="7"/>
  <c r="AU73" i="7"/>
  <c r="FH73" i="7"/>
  <c r="EZ73" i="7"/>
  <c r="FC78" i="7"/>
  <c r="FB81" i="7"/>
  <c r="AU81" i="7"/>
  <c r="FH81" i="7"/>
  <c r="EZ81" i="7"/>
  <c r="FC86" i="7"/>
  <c r="FB89" i="7"/>
  <c r="AU89" i="7"/>
  <c r="FH89" i="7"/>
  <c r="EU89" i="7" s="1"/>
  <c r="EO89" i="7" s="1"/>
  <c r="EZ89" i="7"/>
  <c r="EP91" i="7"/>
  <c r="EP93" i="7"/>
  <c r="EP95" i="7"/>
  <c r="EP97" i="7"/>
  <c r="BY98" i="7"/>
  <c r="EQ98" i="7" s="1"/>
  <c r="FE146" i="7"/>
  <c r="FA146" i="7"/>
  <c r="FF146" i="7"/>
  <c r="BK146" i="7"/>
  <c r="BM146" i="7" s="1"/>
  <c r="BO146" i="7" s="1"/>
  <c r="EY146" i="7"/>
  <c r="FA54" i="7"/>
  <c r="FA56" i="7"/>
  <c r="FA58" i="7"/>
  <c r="FA60" i="7"/>
  <c r="FA62" i="7"/>
  <c r="AU74" i="7"/>
  <c r="FB75" i="7"/>
  <c r="EY76" i="7"/>
  <c r="AU78" i="7"/>
  <c r="FB79" i="7"/>
  <c r="EY80" i="7"/>
  <c r="AU82" i="7"/>
  <c r="FB83" i="7"/>
  <c r="EY84" i="7"/>
  <c r="AU86" i="7"/>
  <c r="FB87" i="7"/>
  <c r="EY88" i="7"/>
  <c r="FB90" i="7"/>
  <c r="EZ91" i="7"/>
  <c r="FB92" i="7"/>
  <c r="EZ93" i="7"/>
  <c r="FB94" i="7"/>
  <c r="EZ95" i="7"/>
  <c r="FB96" i="7"/>
  <c r="FC97" i="7"/>
  <c r="FB101" i="7"/>
  <c r="FH101" i="7"/>
  <c r="FC101" i="7"/>
  <c r="EY102" i="7"/>
  <c r="FH102" i="7"/>
  <c r="BK102" i="7"/>
  <c r="BM102" i="7" s="1"/>
  <c r="BO102" i="7" s="1"/>
  <c r="FE102" i="7"/>
  <c r="FH103" i="7"/>
  <c r="EZ103" i="7"/>
  <c r="AU103" i="7"/>
  <c r="FB103" i="7"/>
  <c r="EY105" i="7"/>
  <c r="FF105" i="7"/>
  <c r="BK105" i="7"/>
  <c r="BM105" i="7" s="1"/>
  <c r="BO105" i="7" s="1"/>
  <c r="FE105" i="7"/>
  <c r="FA105" i="7"/>
  <c r="BX154" i="7"/>
  <c r="EP154" i="7"/>
  <c r="FC75" i="7"/>
  <c r="FC79" i="7"/>
  <c r="FC83" i="7"/>
  <c r="EU83" i="7" s="1"/>
  <c r="EO83" i="7" s="1"/>
  <c r="FC87" i="7"/>
  <c r="EU87" i="7" s="1"/>
  <c r="EO87" i="7" s="1"/>
  <c r="FA91" i="7"/>
  <c r="FA93" i="7"/>
  <c r="FA95" i="7"/>
  <c r="EY97" i="7"/>
  <c r="AU100" i="7"/>
  <c r="FB100" i="7"/>
  <c r="FF101" i="7"/>
  <c r="BK101" i="7"/>
  <c r="BM101" i="7" s="1"/>
  <c r="BO101" i="7" s="1"/>
  <c r="EY101" i="7"/>
  <c r="FE101" i="7"/>
  <c r="FB112" i="7"/>
  <c r="AU112" i="7"/>
  <c r="FH112" i="7"/>
  <c r="EZ112" i="7"/>
  <c r="FH125" i="7"/>
  <c r="EZ125" i="7"/>
  <c r="AU125" i="7"/>
  <c r="FC125" i="7"/>
  <c r="FB125" i="7"/>
  <c r="EZ75" i="7"/>
  <c r="FA76" i="7"/>
  <c r="EZ79" i="7"/>
  <c r="FA80" i="7"/>
  <c r="EZ83" i="7"/>
  <c r="FA84" i="7"/>
  <c r="EZ87" i="7"/>
  <c r="FA88" i="7"/>
  <c r="EZ90" i="7"/>
  <c r="EZ92" i="7"/>
  <c r="EZ94" i="7"/>
  <c r="EZ96" i="7"/>
  <c r="FC98" i="7"/>
  <c r="FE100" i="7"/>
  <c r="FA100" i="7"/>
  <c r="EY100" i="7"/>
  <c r="FC100" i="7"/>
  <c r="FH100" i="7"/>
  <c r="AU111" i="7"/>
  <c r="FH111" i="7"/>
  <c r="EZ111" i="7"/>
  <c r="FC111" i="7"/>
  <c r="FF112" i="7"/>
  <c r="BK112" i="7"/>
  <c r="BM112" i="7" s="1"/>
  <c r="BO112" i="7" s="1"/>
  <c r="FE112" i="7"/>
  <c r="FA112" i="7"/>
  <c r="EY112" i="7"/>
  <c r="FC112" i="7"/>
  <c r="EY113" i="7"/>
  <c r="FF113" i="7"/>
  <c r="BK113" i="7"/>
  <c r="BM113" i="7" s="1"/>
  <c r="BO113" i="7" s="1"/>
  <c r="FE113" i="7"/>
  <c r="FH113" i="7"/>
  <c r="FA113" i="7"/>
  <c r="EO151" i="7"/>
  <c r="AU151" i="7"/>
  <c r="FB151" i="7"/>
  <c r="FH151" i="7"/>
  <c r="EZ151" i="7"/>
  <c r="BY114" i="7"/>
  <c r="EQ114" i="7" s="1"/>
  <c r="EP114" i="7"/>
  <c r="FB119" i="7"/>
  <c r="EZ119" i="7"/>
  <c r="FH119" i="7"/>
  <c r="FB121" i="7"/>
  <c r="FH121" i="7"/>
  <c r="FC121" i="7"/>
  <c r="EZ121" i="7"/>
  <c r="FA124" i="7"/>
  <c r="FE126" i="7"/>
  <c r="FA126" i="7"/>
  <c r="FB108" i="7"/>
  <c r="AU108" i="7"/>
  <c r="FC108" i="7"/>
  <c r="FB116" i="7"/>
  <c r="AU116" i="7"/>
  <c r="FC116" i="7"/>
  <c r="FC119" i="7"/>
  <c r="FC122" i="7"/>
  <c r="FF122" i="7"/>
  <c r="BK122" i="7"/>
  <c r="BM122" i="7" s="1"/>
  <c r="BO122" i="7" s="1"/>
  <c r="FB123" i="7"/>
  <c r="FH123" i="7"/>
  <c r="FC123" i="7"/>
  <c r="EY124" i="7"/>
  <c r="FH124" i="7"/>
  <c r="BK124" i="7"/>
  <c r="BM124" i="7" s="1"/>
  <c r="BO124" i="7" s="1"/>
  <c r="BK126" i="7"/>
  <c r="BM126" i="7" s="1"/>
  <c r="BO126" i="7" s="1"/>
  <c r="FB127" i="7"/>
  <c r="AU127" i="7"/>
  <c r="EZ127" i="7"/>
  <c r="FH127" i="7"/>
  <c r="AU130" i="7"/>
  <c r="FB130" i="7"/>
  <c r="EZ130" i="7"/>
  <c r="FH130" i="7"/>
  <c r="EP145" i="7"/>
  <c r="AU104" i="7"/>
  <c r="FC104" i="7"/>
  <c r="FH104" i="7"/>
  <c r="AU107" i="7"/>
  <c r="FH107" i="7"/>
  <c r="EZ107" i="7"/>
  <c r="FB107" i="7"/>
  <c r="FF108" i="7"/>
  <c r="BK108" i="7"/>
  <c r="BM108" i="7" s="1"/>
  <c r="BO108" i="7" s="1"/>
  <c r="FE108" i="7"/>
  <c r="FA108" i="7"/>
  <c r="EY109" i="7"/>
  <c r="FF109" i="7"/>
  <c r="BK109" i="7"/>
  <c r="BM109" i="7" s="1"/>
  <c r="BO109" i="7" s="1"/>
  <c r="FA109" i="7"/>
  <c r="FH109" i="7"/>
  <c r="AU115" i="7"/>
  <c r="FH115" i="7"/>
  <c r="EZ115" i="7"/>
  <c r="FB115" i="7"/>
  <c r="FF116" i="7"/>
  <c r="BK116" i="7"/>
  <c r="BM116" i="7" s="1"/>
  <c r="BO116" i="7" s="1"/>
  <c r="FE116" i="7"/>
  <c r="FA116" i="7"/>
  <c r="EY117" i="7"/>
  <c r="FF117" i="7"/>
  <c r="BK117" i="7"/>
  <c r="BM117" i="7" s="1"/>
  <c r="BO117" i="7" s="1"/>
  <c r="FA117" i="7"/>
  <c r="FH117" i="7"/>
  <c r="EY122" i="7"/>
  <c r="FE122" i="7"/>
  <c r="EY126" i="7"/>
  <c r="FF126" i="7"/>
  <c r="FC127" i="7"/>
  <c r="EP128" i="7"/>
  <c r="FE130" i="7"/>
  <c r="FA130" i="7"/>
  <c r="FF130" i="7"/>
  <c r="BK130" i="7"/>
  <c r="BM130" i="7" s="1"/>
  <c r="BO130" i="7" s="1"/>
  <c r="FC130" i="7"/>
  <c r="EP132" i="7"/>
  <c r="AU134" i="7"/>
  <c r="FB134" i="7"/>
  <c r="EZ134" i="7"/>
  <c r="BX141" i="7"/>
  <c r="EP141" i="7"/>
  <c r="FF147" i="7"/>
  <c r="BK147" i="7"/>
  <c r="BM147" i="7" s="1"/>
  <c r="BO147" i="7" s="1"/>
  <c r="FA147" i="7"/>
  <c r="EY147" i="7"/>
  <c r="FH147" i="7"/>
  <c r="FC147" i="7"/>
  <c r="FE147" i="7"/>
  <c r="EY106" i="7"/>
  <c r="FB109" i="7"/>
  <c r="EY110" i="7"/>
  <c r="FB113" i="7"/>
  <c r="EY114" i="7"/>
  <c r="FB117" i="7"/>
  <c r="EY118" i="7"/>
  <c r="FA119" i="7"/>
  <c r="FE119" i="7"/>
  <c r="FC120" i="7"/>
  <c r="FA121" i="7"/>
  <c r="FF123" i="7"/>
  <c r="BK123" i="7"/>
  <c r="BM123" i="7" s="1"/>
  <c r="BO123" i="7" s="1"/>
  <c r="FA123" i="7"/>
  <c r="FF127" i="7"/>
  <c r="BK127" i="7"/>
  <c r="BM127" i="7" s="1"/>
  <c r="BO127" i="7" s="1"/>
  <c r="FE127" i="7"/>
  <c r="FA128" i="7"/>
  <c r="FF128" i="7"/>
  <c r="FH129" i="7"/>
  <c r="EZ129" i="7"/>
  <c r="FC129" i="7"/>
  <c r="FE134" i="7"/>
  <c r="FA134" i="7"/>
  <c r="EY134" i="7"/>
  <c r="FC135" i="7"/>
  <c r="FH135" i="7"/>
  <c r="BK136" i="7"/>
  <c r="BM136" i="7" s="1"/>
  <c r="BO136" i="7" s="1"/>
  <c r="FH136" i="7"/>
  <c r="AU137" i="7"/>
  <c r="EZ138" i="7"/>
  <c r="FA139" i="7"/>
  <c r="FE139" i="7"/>
  <c r="EZ140" i="7"/>
  <c r="EY142" i="7"/>
  <c r="FB143" i="7"/>
  <c r="FH143" i="7"/>
  <c r="FC143" i="7"/>
  <c r="EZ143" i="7"/>
  <c r="BX145" i="7"/>
  <c r="FF148" i="7"/>
  <c r="BK148" i="7"/>
  <c r="BM148" i="7" s="1"/>
  <c r="BO148" i="7" s="1"/>
  <c r="EY148" i="7"/>
  <c r="FC148" i="7"/>
  <c r="FA150" i="7"/>
  <c r="EZ120" i="7"/>
  <c r="AU126" i="7"/>
  <c r="FC126" i="7"/>
  <c r="FH126" i="7"/>
  <c r="FA127" i="7"/>
  <c r="FF131" i="7"/>
  <c r="BK131" i="7"/>
  <c r="BM131" i="7" s="1"/>
  <c r="BO131" i="7" s="1"/>
  <c r="EZ131" i="7"/>
  <c r="FE131" i="7"/>
  <c r="FA132" i="7"/>
  <c r="FF132" i="7"/>
  <c r="FH133" i="7"/>
  <c r="EZ133" i="7"/>
  <c r="FC133" i="7"/>
  <c r="BK134" i="7"/>
  <c r="BM134" i="7" s="1"/>
  <c r="BO134" i="7" s="1"/>
  <c r="FF134" i="7"/>
  <c r="FC136" i="7"/>
  <c r="FE136" i="7"/>
  <c r="FF138" i="7"/>
  <c r="BK138" i="7"/>
  <c r="BM138" i="7" s="1"/>
  <c r="BO138" i="7" s="1"/>
  <c r="FA138" i="7"/>
  <c r="BK139" i="7"/>
  <c r="BM139" i="7" s="1"/>
  <c r="BO139" i="7" s="1"/>
  <c r="FA140" i="7"/>
  <c r="FA141" i="7"/>
  <c r="EZ142" i="7"/>
  <c r="FB142" i="7"/>
  <c r="FB149" i="7"/>
  <c r="EY153" i="7"/>
  <c r="FH153" i="7"/>
  <c r="FE153" i="7"/>
  <c r="FA153" i="7"/>
  <c r="FF135" i="7"/>
  <c r="BK135" i="7"/>
  <c r="BM135" i="7" s="1"/>
  <c r="BO135" i="7" s="1"/>
  <c r="FE135" i="7"/>
  <c r="FA136" i="7"/>
  <c r="FF136" i="7"/>
  <c r="FH137" i="7"/>
  <c r="EZ137" i="7"/>
  <c r="FC137" i="7"/>
  <c r="FE142" i="7"/>
  <c r="BK142" i="7"/>
  <c r="BM142" i="7" s="1"/>
  <c r="BO142" i="7" s="1"/>
  <c r="FC142" i="7"/>
  <c r="FF150" i="7"/>
  <c r="BK150" i="7"/>
  <c r="BM150" i="7" s="1"/>
  <c r="BO150" i="7" s="1"/>
  <c r="EY150" i="7"/>
  <c r="FC150" i="7"/>
  <c r="EP151" i="7"/>
  <c r="BX151" i="7"/>
  <c r="FB152" i="7"/>
  <c r="EZ152" i="7"/>
  <c r="EO152" i="7"/>
  <c r="EP152" i="7"/>
  <c r="BX152" i="7"/>
  <c r="BX168" i="7"/>
  <c r="EP168" i="7"/>
  <c r="EZ122" i="7"/>
  <c r="EZ139" i="7"/>
  <c r="EZ141" i="7"/>
  <c r="FF143" i="7"/>
  <c r="BK143" i="7"/>
  <c r="BM143" i="7" s="1"/>
  <c r="BO143" i="7" s="1"/>
  <c r="FE143" i="7"/>
  <c r="FA144" i="7"/>
  <c r="FF144" i="7"/>
  <c r="FH145" i="7"/>
  <c r="EZ145" i="7"/>
  <c r="FC145" i="7"/>
  <c r="FH148" i="7"/>
  <c r="FH150" i="7"/>
  <c r="FA152" i="7"/>
  <c r="FE155" i="7"/>
  <c r="FA155" i="7"/>
  <c r="EY155" i="7"/>
  <c r="EY156" i="7"/>
  <c r="FE156" i="7"/>
  <c r="FA156" i="7"/>
  <c r="BX156" i="7"/>
  <c r="EP156" i="7"/>
  <c r="BY167" i="7"/>
  <c r="EQ167" i="7" s="1"/>
  <c r="EQ153" i="7"/>
  <c r="FH154" i="7"/>
  <c r="EZ154" i="7"/>
  <c r="AU154" i="7"/>
  <c r="FB154" i="7"/>
  <c r="BX157" i="7"/>
  <c r="EP157" i="7"/>
  <c r="FB167" i="7"/>
  <c r="EO167" i="7"/>
  <c r="AU167" i="7"/>
  <c r="FH167" i="7"/>
  <c r="EZ167" i="7"/>
  <c r="AU146" i="7"/>
  <c r="FC146" i="7"/>
  <c r="FH146" i="7"/>
  <c r="FF149" i="7"/>
  <c r="BK149" i="7"/>
  <c r="BM149" i="7" s="1"/>
  <c r="BO149" i="7" s="1"/>
  <c r="FA149" i="7"/>
  <c r="FE151" i="7"/>
  <c r="FA151" i="7"/>
  <c r="EY151" i="7"/>
  <c r="EP153" i="7"/>
  <c r="BY158" i="7"/>
  <c r="EQ158" i="7" s="1"/>
  <c r="EP158" i="7"/>
  <c r="EZ148" i="7"/>
  <c r="EZ150" i="7"/>
  <c r="FB155" i="7"/>
  <c r="EO155" i="7"/>
  <c r="AU155" i="7"/>
  <c r="EP159" i="7"/>
  <c r="BX161" i="7"/>
  <c r="EP161" i="7"/>
  <c r="FB159" i="7"/>
  <c r="EO159" i="7"/>
  <c r="AU159" i="7"/>
  <c r="FH159" i="7"/>
  <c r="EU159" i="7" s="1"/>
  <c r="EZ159" i="7"/>
  <c r="BX160" i="7"/>
  <c r="EP160" i="7"/>
  <c r="BY162" i="7"/>
  <c r="EQ162" i="7" s="1"/>
  <c r="EP162" i="7"/>
  <c r="FB163" i="7"/>
  <c r="AU163" i="7"/>
  <c r="FH163" i="7"/>
  <c r="EZ163" i="7"/>
  <c r="FC163" i="7"/>
  <c r="FC164" i="7"/>
  <c r="BX165" i="7"/>
  <c r="EP165" i="7"/>
  <c r="EY160" i="7"/>
  <c r="FE160" i="7"/>
  <c r="FA160" i="7"/>
  <c r="EY164" i="7"/>
  <c r="FF164" i="7"/>
  <c r="BK164" i="7"/>
  <c r="BM164" i="7" s="1"/>
  <c r="BO164" i="7" s="1"/>
  <c r="FE164" i="7"/>
  <c r="FA164" i="7"/>
  <c r="EP167" i="7"/>
  <c r="EY168" i="7"/>
  <c r="FE168" i="7"/>
  <c r="FA168" i="7"/>
  <c r="FB161" i="7"/>
  <c r="EY162" i="7"/>
  <c r="FB165" i="7"/>
  <c r="EY166" i="7"/>
  <c r="FC166" i="7"/>
  <c r="EY157" i="7"/>
  <c r="EZ158" i="7"/>
  <c r="FA159" i="7"/>
  <c r="FH162" i="7"/>
  <c r="EU162" i="7" s="1"/>
  <c r="FC165" i="7"/>
  <c r="FA158" i="7"/>
  <c r="EZ161" i="7"/>
  <c r="FA162" i="7"/>
  <c r="BK163" i="7"/>
  <c r="BM163" i="7" s="1"/>
  <c r="BO163" i="7" s="1"/>
  <c r="EZ165" i="7"/>
  <c r="AU166" i="7"/>
  <c r="FA166" i="7"/>
  <c r="EU154" i="7" l="1"/>
  <c r="EU75" i="7"/>
  <c r="EO75" i="7" s="1"/>
  <c r="EP111" i="7"/>
  <c r="EU97" i="7"/>
  <c r="EO97" i="7" s="1"/>
  <c r="EU78" i="7"/>
  <c r="EO78" i="7" s="1"/>
  <c r="EU94" i="7"/>
  <c r="EO94" i="7" s="1"/>
  <c r="BX103" i="7"/>
  <c r="BY103" i="7" s="1"/>
  <c r="EQ103" i="7" s="1"/>
  <c r="EP12" i="7"/>
  <c r="EU37" i="7"/>
  <c r="EO37" i="7" s="1"/>
  <c r="ER37" i="7" s="1"/>
  <c r="EU84" i="7"/>
  <c r="EO84" i="7" s="1"/>
  <c r="BX140" i="7"/>
  <c r="BY140" i="7" s="1"/>
  <c r="EQ140" i="7" s="1"/>
  <c r="ER140" i="7" s="1"/>
  <c r="EU156" i="7"/>
  <c r="BX144" i="7"/>
  <c r="BY144" i="7" s="1"/>
  <c r="EQ144" i="7" s="1"/>
  <c r="EU73" i="7"/>
  <c r="EO73" i="7" s="1"/>
  <c r="EU70" i="7"/>
  <c r="EO70" i="7" s="1"/>
  <c r="ER70" i="7" s="1"/>
  <c r="EU45" i="7"/>
  <c r="EO45" i="7" s="1"/>
  <c r="ER45" i="7" s="1"/>
  <c r="EU99" i="7"/>
  <c r="EO99" i="7" s="1"/>
  <c r="EU139" i="7"/>
  <c r="EO139" i="7" s="1"/>
  <c r="EU109" i="7"/>
  <c r="EO109" i="7" s="1"/>
  <c r="EU107" i="7"/>
  <c r="EO107" i="7" s="1"/>
  <c r="EU79" i="7"/>
  <c r="EO79" i="7" s="1"/>
  <c r="BX125" i="7"/>
  <c r="BY125" i="7" s="1"/>
  <c r="EQ125" i="7" s="1"/>
  <c r="EU52" i="7"/>
  <c r="EO52" i="7" s="1"/>
  <c r="ER52" i="7" s="1"/>
  <c r="EU42" i="7"/>
  <c r="EO42" i="7" s="1"/>
  <c r="EU141" i="7"/>
  <c r="EO141" i="7" s="1"/>
  <c r="EU152" i="7"/>
  <c r="EU22" i="7"/>
  <c r="EO22" i="7" s="1"/>
  <c r="EU113" i="7"/>
  <c r="EO113" i="7" s="1"/>
  <c r="EU111" i="7"/>
  <c r="EO111" i="7" s="1"/>
  <c r="BX16" i="7"/>
  <c r="BY16" i="7" s="1"/>
  <c r="EQ16" i="7" s="1"/>
  <c r="EP118" i="7"/>
  <c r="EU103" i="7"/>
  <c r="EO103" i="7" s="1"/>
  <c r="EU3" i="7"/>
  <c r="EO3" i="7" s="1"/>
  <c r="EP10" i="7"/>
  <c r="EU123" i="7"/>
  <c r="EO123" i="7" s="1"/>
  <c r="EU114" i="7"/>
  <c r="EO114" i="7" s="1"/>
  <c r="ER114" i="7" s="1"/>
  <c r="EU168" i="7"/>
  <c r="EU144" i="7"/>
  <c r="EO144" i="7" s="1"/>
  <c r="EU138" i="7"/>
  <c r="EO138" i="7" s="1"/>
  <c r="EU132" i="7"/>
  <c r="EO132" i="7" s="1"/>
  <c r="EU56" i="7"/>
  <c r="EO56" i="7" s="1"/>
  <c r="EU28" i="7"/>
  <c r="EO28" i="7" s="1"/>
  <c r="EQ46" i="7"/>
  <c r="ER46" i="7" s="1"/>
  <c r="EP19" i="7"/>
  <c r="EU95" i="7"/>
  <c r="EO95" i="7" s="1"/>
  <c r="ER95" i="7" s="1"/>
  <c r="ET95" i="7" s="1"/>
  <c r="EU80" i="7"/>
  <c r="EO80" i="7" s="1"/>
  <c r="EU158" i="7"/>
  <c r="EU136" i="7"/>
  <c r="EO136" i="7" s="1"/>
  <c r="EU131" i="7"/>
  <c r="EO131" i="7" s="1"/>
  <c r="EU128" i="7"/>
  <c r="EO128" i="7" s="1"/>
  <c r="EP110" i="7"/>
  <c r="EU86" i="7"/>
  <c r="EO86" i="7" s="1"/>
  <c r="EU85" i="7"/>
  <c r="EO85" i="7" s="1"/>
  <c r="EU38" i="7"/>
  <c r="EO38" i="7" s="1"/>
  <c r="ER38" i="7" s="1"/>
  <c r="ET38" i="7" s="1"/>
  <c r="BX20" i="7"/>
  <c r="BY20" i="7" s="1"/>
  <c r="EQ20" i="7" s="1"/>
  <c r="EU157" i="7"/>
  <c r="EU41" i="7"/>
  <c r="EO41" i="7" s="1"/>
  <c r="ER41" i="7" s="1"/>
  <c r="EU31" i="7"/>
  <c r="EO31" i="7" s="1"/>
  <c r="EU161" i="7"/>
  <c r="EP11" i="7"/>
  <c r="ER153" i="7"/>
  <c r="ES153" i="7" s="1"/>
  <c r="EU165" i="7"/>
  <c r="EO165" i="7" s="1"/>
  <c r="EU160" i="7"/>
  <c r="EU102" i="7"/>
  <c r="EO102" i="7" s="1"/>
  <c r="EU101" i="7"/>
  <c r="EO101" i="7" s="1"/>
  <c r="EU72" i="7"/>
  <c r="EO72" i="7" s="1"/>
  <c r="ER72" i="7" s="1"/>
  <c r="ES72" i="7" s="1"/>
  <c r="EU60" i="7"/>
  <c r="EO60" i="7" s="1"/>
  <c r="EU66" i="7"/>
  <c r="EO66" i="7" s="1"/>
  <c r="ER66" i="7" s="1"/>
  <c r="ES66" i="7" s="1"/>
  <c r="EU4" i="7"/>
  <c r="EO4" i="7" s="1"/>
  <c r="ER4" i="7" s="1"/>
  <c r="ES4" i="7" s="1"/>
  <c r="EU7" i="7"/>
  <c r="EO7" i="7" s="1"/>
  <c r="ER7" i="7" s="1"/>
  <c r="ET7" i="7" s="1"/>
  <c r="EU33" i="7"/>
  <c r="EO33" i="7" s="1"/>
  <c r="ER33" i="7" s="1"/>
  <c r="EU91" i="7"/>
  <c r="EO91" i="7" s="1"/>
  <c r="ER91" i="7" s="1"/>
  <c r="ET91" i="7" s="1"/>
  <c r="EU76" i="7"/>
  <c r="EO76" i="7" s="1"/>
  <c r="ER76" i="7" s="1"/>
  <c r="ES76" i="7" s="1"/>
  <c r="EU93" i="7"/>
  <c r="EO93" i="7" s="1"/>
  <c r="ER93" i="7" s="1"/>
  <c r="EP31" i="7"/>
  <c r="EU124" i="7"/>
  <c r="EO124" i="7" s="1"/>
  <c r="ER158" i="7"/>
  <c r="ET158" i="7" s="1"/>
  <c r="EU167" i="7"/>
  <c r="EU155" i="7"/>
  <c r="EU153" i="7"/>
  <c r="EU120" i="7"/>
  <c r="EO120" i="7" s="1"/>
  <c r="ER120" i="7" s="1"/>
  <c r="EU98" i="7"/>
  <c r="EO98" i="7" s="1"/>
  <c r="ER98" i="7" s="1"/>
  <c r="EP107" i="7"/>
  <c r="EU58" i="7"/>
  <c r="EO58" i="7" s="1"/>
  <c r="ER58" i="7" s="1"/>
  <c r="ET58" i="7" s="1"/>
  <c r="EU53" i="7"/>
  <c r="EO53" i="7" s="1"/>
  <c r="EU34" i="7"/>
  <c r="EO34" i="7" s="1"/>
  <c r="EU5" i="7"/>
  <c r="EO5" i="7" s="1"/>
  <c r="EU115" i="7"/>
  <c r="EO115" i="7" s="1"/>
  <c r="EU100" i="7"/>
  <c r="EO100" i="7" s="1"/>
  <c r="EU81" i="7"/>
  <c r="EO81" i="7" s="1"/>
  <c r="ER81" i="7" s="1"/>
  <c r="ES81" i="7" s="1"/>
  <c r="EU57" i="7"/>
  <c r="EO57" i="7" s="1"/>
  <c r="ER57" i="7" s="1"/>
  <c r="ET57" i="7" s="1"/>
  <c r="EU48" i="7"/>
  <c r="EO48" i="7" s="1"/>
  <c r="ER48" i="7" s="1"/>
  <c r="ES48" i="7" s="1"/>
  <c r="EU62" i="7"/>
  <c r="EO62" i="7" s="1"/>
  <c r="ER62" i="7" s="1"/>
  <c r="ES62" i="7" s="1"/>
  <c r="EU68" i="7"/>
  <c r="EO68" i="7" s="1"/>
  <c r="EU149" i="7"/>
  <c r="EO149" i="7" s="1"/>
  <c r="EU137" i="7"/>
  <c r="EO137" i="7" s="1"/>
  <c r="EU126" i="7"/>
  <c r="EO126" i="7" s="1"/>
  <c r="EU148" i="7"/>
  <c r="EO148" i="7" s="1"/>
  <c r="EU134" i="7"/>
  <c r="EO134" i="7" s="1"/>
  <c r="EU112" i="7"/>
  <c r="EO112" i="7" s="1"/>
  <c r="BX133" i="7"/>
  <c r="BY133" i="7" s="1"/>
  <c r="EQ133" i="7" s="1"/>
  <c r="EQ111" i="7"/>
  <c r="EU63" i="7"/>
  <c r="EO63" i="7" s="1"/>
  <c r="ER63" i="7" s="1"/>
  <c r="EU55" i="7"/>
  <c r="EO55" i="7" s="1"/>
  <c r="ER55" i="7" s="1"/>
  <c r="ET55" i="7" s="1"/>
  <c r="EU92" i="7"/>
  <c r="EO92" i="7" s="1"/>
  <c r="EU71" i="7"/>
  <c r="EO71" i="7" s="1"/>
  <c r="ER71" i="7" s="1"/>
  <c r="ES71" i="7" s="1"/>
  <c r="EU67" i="7"/>
  <c r="EO67" i="7" s="1"/>
  <c r="ER67" i="7" s="1"/>
  <c r="ET67" i="7" s="1"/>
  <c r="BX100" i="7"/>
  <c r="EU82" i="7"/>
  <c r="EO82" i="7" s="1"/>
  <c r="EU74" i="7"/>
  <c r="EO74" i="7" s="1"/>
  <c r="EU32" i="7"/>
  <c r="EO32" i="7" s="1"/>
  <c r="EU9" i="7"/>
  <c r="EO9" i="7" s="1"/>
  <c r="EP106" i="7"/>
  <c r="EP22" i="7"/>
  <c r="EU10" i="7"/>
  <c r="EO10" i="7" s="1"/>
  <c r="EU118" i="7"/>
  <c r="EO118" i="7" s="1"/>
  <c r="BX137" i="7"/>
  <c r="EP137" i="7"/>
  <c r="EP129" i="7"/>
  <c r="BX129" i="7"/>
  <c r="BY129" i="7" s="1"/>
  <c r="EQ129" i="7" s="1"/>
  <c r="EU166" i="7"/>
  <c r="EO166" i="7" s="1"/>
  <c r="EU117" i="7"/>
  <c r="EO117" i="7" s="1"/>
  <c r="EU125" i="7"/>
  <c r="EO125" i="7" s="1"/>
  <c r="EU77" i="7"/>
  <c r="EO77" i="7" s="1"/>
  <c r="EU64" i="7"/>
  <c r="EO64" i="7" s="1"/>
  <c r="ER64" i="7" s="1"/>
  <c r="ES64" i="7" s="1"/>
  <c r="EU54" i="7"/>
  <c r="EO54" i="7" s="1"/>
  <c r="ER54" i="7" s="1"/>
  <c r="ET54" i="7" s="1"/>
  <c r="EU43" i="7"/>
  <c r="EO43" i="7" s="1"/>
  <c r="EU21" i="7"/>
  <c r="EO21" i="7" s="1"/>
  <c r="ER3" i="7"/>
  <c r="ET3" i="7" s="1"/>
  <c r="ER27" i="7"/>
  <c r="ET27" i="7" s="1"/>
  <c r="EU163" i="7"/>
  <c r="EO163" i="7" s="1"/>
  <c r="EU151" i="7"/>
  <c r="EU142" i="7"/>
  <c r="EO142" i="7" s="1"/>
  <c r="EU133" i="7"/>
  <c r="EO133" i="7" s="1"/>
  <c r="EU116" i="7"/>
  <c r="EO116" i="7" s="1"/>
  <c r="ER89" i="7"/>
  <c r="ET89" i="7" s="1"/>
  <c r="EU50" i="7"/>
  <c r="EO50" i="7" s="1"/>
  <c r="ER50" i="7" s="1"/>
  <c r="ES50" i="7" s="1"/>
  <c r="EU18" i="7"/>
  <c r="EO18" i="7" s="1"/>
  <c r="EU20" i="7"/>
  <c r="EO20" i="7" s="1"/>
  <c r="BX166" i="7"/>
  <c r="BY166" i="7" s="1"/>
  <c r="EQ166" i="7" s="1"/>
  <c r="EP166" i="7"/>
  <c r="EU110" i="7"/>
  <c r="EO110" i="7" s="1"/>
  <c r="BX164" i="7"/>
  <c r="EP164" i="7"/>
  <c r="ER167" i="7"/>
  <c r="BY152" i="7"/>
  <c r="EQ152" i="7" s="1"/>
  <c r="ER152" i="7" s="1"/>
  <c r="BY145" i="7"/>
  <c r="EQ145" i="7" s="1"/>
  <c r="BX124" i="7"/>
  <c r="EP124" i="7"/>
  <c r="BY47" i="7"/>
  <c r="EQ47" i="7" s="1"/>
  <c r="EP17" i="7"/>
  <c r="BX17" i="7"/>
  <c r="BY77" i="7"/>
  <c r="EQ77" i="7" s="1"/>
  <c r="EU24" i="7"/>
  <c r="EO24" i="7" s="1"/>
  <c r="BX14" i="7"/>
  <c r="EP14" i="7"/>
  <c r="BY121" i="7"/>
  <c r="EQ121" i="7" s="1"/>
  <c r="BY39" i="7"/>
  <c r="EQ39" i="7" s="1"/>
  <c r="BY36" i="7"/>
  <c r="EQ36" i="7" s="1"/>
  <c r="ER36" i="7" s="1"/>
  <c r="BM169" i="7"/>
  <c r="BY25" i="7"/>
  <c r="EQ25" i="7" s="1"/>
  <c r="BY34" i="7"/>
  <c r="EQ34" i="7" s="1"/>
  <c r="EU145" i="7"/>
  <c r="EO145" i="7" s="1"/>
  <c r="BY151" i="7"/>
  <c r="EQ151" i="7" s="1"/>
  <c r="ER151" i="7" s="1"/>
  <c r="BX150" i="7"/>
  <c r="EP150" i="7"/>
  <c r="EP135" i="7"/>
  <c r="BX135" i="7"/>
  <c r="EP138" i="7"/>
  <c r="BX138" i="7"/>
  <c r="EU143" i="7"/>
  <c r="EO143" i="7" s="1"/>
  <c r="EU135" i="7"/>
  <c r="EO135" i="7" s="1"/>
  <c r="EP123" i="7"/>
  <c r="BX123" i="7"/>
  <c r="EU130" i="7"/>
  <c r="EO130" i="7" s="1"/>
  <c r="EU127" i="7"/>
  <c r="EO127" i="7" s="1"/>
  <c r="EP108" i="7"/>
  <c r="BX108" i="7"/>
  <c r="EU104" i="7"/>
  <c r="EO104" i="7" s="1"/>
  <c r="EU122" i="7"/>
  <c r="EO122" i="7" s="1"/>
  <c r="EU121" i="7"/>
  <c r="EO121" i="7" s="1"/>
  <c r="EP101" i="7"/>
  <c r="BX101" i="7"/>
  <c r="EP105" i="7"/>
  <c r="BX105" i="7"/>
  <c r="BX102" i="7"/>
  <c r="EP102" i="7"/>
  <c r="EP146" i="7"/>
  <c r="BX146" i="7"/>
  <c r="ER84" i="7"/>
  <c r="BY119" i="7"/>
  <c r="EQ119" i="7" s="1"/>
  <c r="BY78" i="7"/>
  <c r="EQ78" i="7" s="1"/>
  <c r="BY75" i="7"/>
  <c r="EQ75" i="7" s="1"/>
  <c r="ER75" i="7" s="1"/>
  <c r="BY80" i="7"/>
  <c r="EQ80" i="7" s="1"/>
  <c r="ER80" i="7" s="1"/>
  <c r="BY96" i="7"/>
  <c r="EQ96" i="7" s="1"/>
  <c r="ER96" i="7" s="1"/>
  <c r="BY69" i="7"/>
  <c r="EQ69" i="7" s="1"/>
  <c r="EU47" i="7"/>
  <c r="EO47" i="7" s="1"/>
  <c r="EU26" i="7"/>
  <c r="EO26" i="7" s="1"/>
  <c r="ER26" i="7" s="1"/>
  <c r="EU11" i="7"/>
  <c r="EO11" i="7" s="1"/>
  <c r="EU65" i="7"/>
  <c r="EO65" i="7" s="1"/>
  <c r="ER65" i="7" s="1"/>
  <c r="BY56" i="7"/>
  <c r="EQ56" i="7" s="1"/>
  <c r="EU23" i="7"/>
  <c r="EO23" i="7" s="1"/>
  <c r="EU8" i="7"/>
  <c r="EO8" i="7" s="1"/>
  <c r="ER8" i="7" s="1"/>
  <c r="BY94" i="7"/>
  <c r="EQ94" i="7" s="1"/>
  <c r="BY88" i="7"/>
  <c r="EQ88" i="7" s="1"/>
  <c r="ER88" i="7" s="1"/>
  <c r="EU51" i="7"/>
  <c r="EO51" i="7" s="1"/>
  <c r="EU12" i="7"/>
  <c r="EO12" i="7" s="1"/>
  <c r="BY10" i="7"/>
  <c r="EQ10" i="7" s="1"/>
  <c r="BY23" i="7"/>
  <c r="EQ23" i="7" s="1"/>
  <c r="BY28" i="7"/>
  <c r="EQ28" i="7" s="1"/>
  <c r="EP143" i="7"/>
  <c r="BX143" i="7"/>
  <c r="EP131" i="7"/>
  <c r="BX131" i="7"/>
  <c r="BY132" i="7"/>
  <c r="EQ132" i="7" s="1"/>
  <c r="BX109" i="7"/>
  <c r="EP109" i="7"/>
  <c r="ER155" i="7"/>
  <c r="EU146" i="7"/>
  <c r="EO146" i="7" s="1"/>
  <c r="BY168" i="7"/>
  <c r="EQ168" i="7" s="1"/>
  <c r="ER168" i="7" s="1"/>
  <c r="BX148" i="7"/>
  <c r="EP148" i="7"/>
  <c r="EP127" i="7"/>
  <c r="BX127" i="7"/>
  <c r="BX130" i="7"/>
  <c r="EP130" i="7"/>
  <c r="EU119" i="7"/>
  <c r="EO119" i="7" s="1"/>
  <c r="EU108" i="7"/>
  <c r="EO108" i="7" s="1"/>
  <c r="BY60" i="7"/>
  <c r="EQ60" i="7" s="1"/>
  <c r="BY82" i="7"/>
  <c r="EQ82" i="7" s="1"/>
  <c r="EU49" i="7"/>
  <c r="EO49" i="7" s="1"/>
  <c r="EP13" i="7"/>
  <c r="BX13" i="7"/>
  <c r="BY92" i="7"/>
  <c r="EQ92" i="7" s="1"/>
  <c r="EU30" i="7"/>
  <c r="EO30" i="7" s="1"/>
  <c r="ER30" i="7" s="1"/>
  <c r="EU17" i="7"/>
  <c r="EO17" i="7" s="1"/>
  <c r="EU35" i="7"/>
  <c r="EO35" i="7" s="1"/>
  <c r="ER35" i="7" s="1"/>
  <c r="EU25" i="7"/>
  <c r="EO25" i="7" s="1"/>
  <c r="EP21" i="7"/>
  <c r="BX21" i="7"/>
  <c r="EU13" i="7"/>
  <c r="EO13" i="7" s="1"/>
  <c r="BY90" i="7"/>
  <c r="EQ90" i="7" s="1"/>
  <c r="ER90" i="7" s="1"/>
  <c r="BY61" i="7"/>
  <c r="EQ61" i="7" s="1"/>
  <c r="EU6" i="7"/>
  <c r="EO6" i="7" s="1"/>
  <c r="BY6" i="7"/>
  <c r="EQ6" i="7" s="1"/>
  <c r="BY5" i="7"/>
  <c r="EQ5" i="7" s="1"/>
  <c r="ER5" i="7" s="1"/>
  <c r="BY161" i="7"/>
  <c r="EQ161" i="7" s="1"/>
  <c r="ER161" i="7" s="1"/>
  <c r="EP142" i="7"/>
  <c r="BX142" i="7"/>
  <c r="EP116" i="7"/>
  <c r="BX116" i="7"/>
  <c r="ER73" i="7"/>
  <c r="BY99" i="7"/>
  <c r="EQ99" i="7" s="1"/>
  <c r="BY106" i="7"/>
  <c r="EQ106" i="7" s="1"/>
  <c r="BY85" i="7"/>
  <c r="EQ85" i="7" s="1"/>
  <c r="BY53" i="7"/>
  <c r="EQ53" i="7" s="1"/>
  <c r="BY42" i="7"/>
  <c r="EQ42" i="7" s="1"/>
  <c r="BY40" i="7"/>
  <c r="EQ40" i="7" s="1"/>
  <c r="ER40" i="7" s="1"/>
  <c r="EP32" i="7"/>
  <c r="BX32" i="7"/>
  <c r="BX18" i="7"/>
  <c r="EP18" i="7"/>
  <c r="BY165" i="7"/>
  <c r="EQ165" i="7" s="1"/>
  <c r="BY156" i="7"/>
  <c r="EQ156" i="7" s="1"/>
  <c r="ER156" i="7" s="1"/>
  <c r="BY141" i="7"/>
  <c r="EQ141" i="7" s="1"/>
  <c r="EP112" i="7"/>
  <c r="BX112" i="7"/>
  <c r="EU105" i="7"/>
  <c r="EO105" i="7" s="1"/>
  <c r="EP163" i="7"/>
  <c r="BX163" i="7"/>
  <c r="EU164" i="7"/>
  <c r="EO164" i="7" s="1"/>
  <c r="ER162" i="7"/>
  <c r="BY160" i="7"/>
  <c r="EQ160" i="7" s="1"/>
  <c r="ER160" i="7" s="1"/>
  <c r="ER159" i="7"/>
  <c r="EP149" i="7"/>
  <c r="BX149" i="7"/>
  <c r="BY157" i="7"/>
  <c r="EQ157" i="7" s="1"/>
  <c r="ER157" i="7" s="1"/>
  <c r="EU150" i="7"/>
  <c r="EO150" i="7" s="1"/>
  <c r="BX139" i="7"/>
  <c r="EP139" i="7"/>
  <c r="BX134" i="7"/>
  <c r="EP134" i="7"/>
  <c r="BX136" i="7"/>
  <c r="EP136" i="7"/>
  <c r="EU129" i="7"/>
  <c r="EO129" i="7" s="1"/>
  <c r="EU147" i="7"/>
  <c r="EO147" i="7" s="1"/>
  <c r="EP147" i="7"/>
  <c r="BX147" i="7"/>
  <c r="BY128" i="7"/>
  <c r="EQ128" i="7" s="1"/>
  <c r="BX117" i="7"/>
  <c r="EP117" i="7"/>
  <c r="BX126" i="7"/>
  <c r="EP126" i="7"/>
  <c r="BX122" i="7"/>
  <c r="EP122" i="7"/>
  <c r="BX113" i="7"/>
  <c r="EP113" i="7"/>
  <c r="BY154" i="7"/>
  <c r="EQ154" i="7" s="1"/>
  <c r="ER154" i="7" s="1"/>
  <c r="ER97" i="7"/>
  <c r="BY115" i="7"/>
  <c r="EQ115" i="7" s="1"/>
  <c r="EP104" i="7"/>
  <c r="BX104" i="7"/>
  <c r="BY86" i="7"/>
  <c r="EQ86" i="7" s="1"/>
  <c r="ER86" i="7" s="1"/>
  <c r="BY83" i="7"/>
  <c r="EQ83" i="7" s="1"/>
  <c r="ER83" i="7" s="1"/>
  <c r="EU69" i="7"/>
  <c r="EO69" i="7" s="1"/>
  <c r="EU59" i="7"/>
  <c r="EO59" i="7" s="1"/>
  <c r="ER59" i="7" s="1"/>
  <c r="EU15" i="7"/>
  <c r="EO15" i="7" s="1"/>
  <c r="ER15" i="7" s="1"/>
  <c r="BY87" i="7"/>
  <c r="EQ87" i="7" s="1"/>
  <c r="ER87" i="7" s="1"/>
  <c r="BY74" i="7"/>
  <c r="EQ74" i="7" s="1"/>
  <c r="BY68" i="7"/>
  <c r="EQ68" i="7" s="1"/>
  <c r="BY43" i="7"/>
  <c r="EQ43" i="7" s="1"/>
  <c r="EU14" i="7"/>
  <c r="EO14" i="7" s="1"/>
  <c r="BY9" i="7"/>
  <c r="EQ9" i="7" s="1"/>
  <c r="EU19" i="7"/>
  <c r="EO19" i="7" s="1"/>
  <c r="BY79" i="7"/>
  <c r="EQ79" i="7" s="1"/>
  <c r="EU61" i="7"/>
  <c r="EO61" i="7" s="1"/>
  <c r="BY51" i="7"/>
  <c r="EQ51" i="7" s="1"/>
  <c r="EU39" i="7"/>
  <c r="EO39" i="7" s="1"/>
  <c r="EU16" i="7"/>
  <c r="EO16" i="7" s="1"/>
  <c r="BO169" i="7"/>
  <c r="EP2" i="7"/>
  <c r="BX2" i="7"/>
  <c r="BY49" i="7"/>
  <c r="EQ49" i="7" s="1"/>
  <c r="BY44" i="7"/>
  <c r="EQ44" i="7" s="1"/>
  <c r="ER44" i="7" s="1"/>
  <c r="EP24" i="7"/>
  <c r="BX24" i="7"/>
  <c r="EU2" i="7"/>
  <c r="EO2" i="7" s="1"/>
  <c r="BY29" i="7"/>
  <c r="EQ29" i="7" s="1"/>
  <c r="ER29" i="7" s="1"/>
  <c r="ER19" i="7" l="1"/>
  <c r="ER110" i="7"/>
  <c r="ES110" i="7" s="1"/>
  <c r="ER132" i="7"/>
  <c r="ER12" i="7"/>
  <c r="ES67" i="7"/>
  <c r="ER99" i="7"/>
  <c r="ET99" i="7" s="1"/>
  <c r="ER78" i="7"/>
  <c r="ET78" i="7" s="1"/>
  <c r="ER79" i="7"/>
  <c r="ET79" i="7" s="1"/>
  <c r="ER94" i="7"/>
  <c r="ET94" i="7" s="1"/>
  <c r="ER22" i="7"/>
  <c r="ES22" i="7" s="1"/>
  <c r="ER103" i="7"/>
  <c r="ES103" i="7" s="1"/>
  <c r="ES57" i="7"/>
  <c r="ER125" i="7"/>
  <c r="ET125" i="7" s="1"/>
  <c r="ER60" i="7"/>
  <c r="ES60" i="7" s="1"/>
  <c r="ER118" i="7"/>
  <c r="ES118" i="7" s="1"/>
  <c r="ER11" i="7"/>
  <c r="ES11" i="7" s="1"/>
  <c r="ER107" i="7"/>
  <c r="ET107" i="7" s="1"/>
  <c r="ER115" i="7"/>
  <c r="ET115" i="7" s="1"/>
  <c r="ER42" i="7"/>
  <c r="ES42" i="7" s="1"/>
  <c r="ER10" i="7"/>
  <c r="ET10" i="7" s="1"/>
  <c r="ET66" i="7"/>
  <c r="ES58" i="7"/>
  <c r="ER141" i="7"/>
  <c r="ES141" i="7" s="1"/>
  <c r="ER106" i="7"/>
  <c r="ET106" i="7" s="1"/>
  <c r="ET153" i="7"/>
  <c r="ER111" i="7"/>
  <c r="ES111" i="7" s="1"/>
  <c r="ER144" i="7"/>
  <c r="ES144" i="7" s="1"/>
  <c r="ET76" i="7"/>
  <c r="ER85" i="7"/>
  <c r="ES85" i="7" s="1"/>
  <c r="ER92" i="7"/>
  <c r="ET92" i="7" s="1"/>
  <c r="ER82" i="7"/>
  <c r="ET82" i="7" s="1"/>
  <c r="ER28" i="7"/>
  <c r="ET28" i="7" s="1"/>
  <c r="ES3" i="7"/>
  <c r="ER128" i="7"/>
  <c r="ES128" i="7" s="1"/>
  <c r="ET64" i="7"/>
  <c r="ER34" i="7"/>
  <c r="ET34" i="7" s="1"/>
  <c r="ET81" i="7"/>
  <c r="ES38" i="7"/>
  <c r="ER68" i="7"/>
  <c r="ES68" i="7" s="1"/>
  <c r="ET71" i="7"/>
  <c r="ET50" i="7"/>
  <c r="ER31" i="7"/>
  <c r="ES31" i="7" s="1"/>
  <c r="ES46" i="7"/>
  <c r="ET46" i="7"/>
  <c r="ES7" i="7"/>
  <c r="ET48" i="7"/>
  <c r="ES95" i="7"/>
  <c r="ER165" i="7"/>
  <c r="ES165" i="7" s="1"/>
  <c r="ER56" i="7"/>
  <c r="ET56" i="7" s="1"/>
  <c r="ET31" i="7"/>
  <c r="ET120" i="7"/>
  <c r="ES120" i="7"/>
  <c r="ER47" i="7"/>
  <c r="ES47" i="7" s="1"/>
  <c r="ES158" i="7"/>
  <c r="ER9" i="7"/>
  <c r="ET9" i="7" s="1"/>
  <c r="ER74" i="7"/>
  <c r="ES74" i="7" s="1"/>
  <c r="ER53" i="7"/>
  <c r="ET53" i="7" s="1"/>
  <c r="ES54" i="7"/>
  <c r="ER166" i="7"/>
  <c r="ER133" i="7"/>
  <c r="ET133" i="7" s="1"/>
  <c r="ET110" i="7"/>
  <c r="BY137" i="7"/>
  <c r="EQ137" i="7" s="1"/>
  <c r="ER137" i="7" s="1"/>
  <c r="ER69" i="7"/>
  <c r="ES69" i="7" s="1"/>
  <c r="ET62" i="7"/>
  <c r="ES91" i="7"/>
  <c r="ER39" i="7"/>
  <c r="ET39" i="7" s="1"/>
  <c r="ER43" i="7"/>
  <c r="ES43" i="7" s="1"/>
  <c r="ER129" i="7"/>
  <c r="ET129" i="7" s="1"/>
  <c r="ET4" i="7"/>
  <c r="ER25" i="7"/>
  <c r="ET25" i="7" s="1"/>
  <c r="BY100" i="7"/>
  <c r="EQ100" i="7" s="1"/>
  <c r="ER100" i="7" s="1"/>
  <c r="ER77" i="7"/>
  <c r="ES77" i="7" s="1"/>
  <c r="ET72" i="7"/>
  <c r="ES55" i="7"/>
  <c r="ES27" i="7"/>
  <c r="ES89" i="7"/>
  <c r="ER20" i="7"/>
  <c r="ES20" i="7" s="1"/>
  <c r="ET168" i="7"/>
  <c r="ES168" i="7"/>
  <c r="ET152" i="7"/>
  <c r="ES152" i="7"/>
  <c r="ES79" i="7"/>
  <c r="ET87" i="7"/>
  <c r="ES87" i="7"/>
  <c r="ET86" i="7"/>
  <c r="ES86" i="7"/>
  <c r="ET156" i="7"/>
  <c r="ES156" i="7"/>
  <c r="ET161" i="7"/>
  <c r="ES161" i="7"/>
  <c r="ET90" i="7"/>
  <c r="ES90" i="7"/>
  <c r="ES88" i="7"/>
  <c r="ET88" i="7"/>
  <c r="ET75" i="7"/>
  <c r="ES75" i="7"/>
  <c r="ET36" i="7"/>
  <c r="ES36" i="7"/>
  <c r="ET40" i="7"/>
  <c r="ES40" i="7"/>
  <c r="ET29" i="7"/>
  <c r="ES29" i="7"/>
  <c r="ET44" i="7"/>
  <c r="ES44" i="7"/>
  <c r="ET43" i="7"/>
  <c r="ES99" i="7"/>
  <c r="ES5" i="7"/>
  <c r="ET5" i="7"/>
  <c r="ET103" i="7"/>
  <c r="ET68" i="7"/>
  <c r="ET83" i="7"/>
  <c r="ES83" i="7"/>
  <c r="ET154" i="7"/>
  <c r="ES154" i="7"/>
  <c r="ET140" i="7"/>
  <c r="ES140" i="7"/>
  <c r="ET132" i="7"/>
  <c r="ES132" i="7"/>
  <c r="ES78" i="7"/>
  <c r="ET96" i="7"/>
  <c r="ES96" i="7"/>
  <c r="BY13" i="7"/>
  <c r="EQ13" i="7" s="1"/>
  <c r="ER13" i="7" s="1"/>
  <c r="ET160" i="7"/>
  <c r="ES160" i="7"/>
  <c r="ER23" i="7"/>
  <c r="ET65" i="7"/>
  <c r="ES65" i="7"/>
  <c r="BY102" i="7"/>
  <c r="EQ102" i="7" s="1"/>
  <c r="ER102" i="7" s="1"/>
  <c r="BY101" i="7"/>
  <c r="EQ101" i="7" s="1"/>
  <c r="ER101" i="7" s="1"/>
  <c r="ET114" i="7"/>
  <c r="ES114" i="7"/>
  <c r="BY164" i="7"/>
  <c r="EQ164" i="7" s="1"/>
  <c r="ER164" i="7" s="1"/>
  <c r="ES33" i="7"/>
  <c r="ET33" i="7"/>
  <c r="ER16" i="7"/>
  <c r="ER61" i="7"/>
  <c r="ET59" i="7"/>
  <c r="ES59" i="7"/>
  <c r="BY113" i="7"/>
  <c r="EQ113" i="7" s="1"/>
  <c r="ER113" i="7" s="1"/>
  <c r="BY139" i="7"/>
  <c r="EQ139" i="7" s="1"/>
  <c r="ER139" i="7" s="1"/>
  <c r="BY18" i="7"/>
  <c r="EQ18" i="7" s="1"/>
  <c r="ER18" i="7" s="1"/>
  <c r="ET52" i="7"/>
  <c r="ES52" i="7"/>
  <c r="BY116" i="7"/>
  <c r="EQ116" i="7" s="1"/>
  <c r="ER116" i="7" s="1"/>
  <c r="ER6" i="7"/>
  <c r="ET30" i="7"/>
  <c r="ES30" i="7"/>
  <c r="ET98" i="7"/>
  <c r="ES98" i="7"/>
  <c r="BY130" i="7"/>
  <c r="EQ130" i="7" s="1"/>
  <c r="ER130" i="7" s="1"/>
  <c r="BY143" i="7"/>
  <c r="EQ143" i="7" s="1"/>
  <c r="ER143" i="7" s="1"/>
  <c r="ES12" i="7"/>
  <c r="ET12" i="7"/>
  <c r="ES37" i="7"/>
  <c r="ET37" i="7"/>
  <c r="ET11" i="7"/>
  <c r="BY146" i="7"/>
  <c r="EQ146" i="7" s="1"/>
  <c r="ER146" i="7" s="1"/>
  <c r="BY105" i="7"/>
  <c r="EQ105" i="7" s="1"/>
  <c r="ER105" i="7" s="1"/>
  <c r="BY108" i="7"/>
  <c r="EQ108" i="7" s="1"/>
  <c r="ER108" i="7" s="1"/>
  <c r="BY123" i="7"/>
  <c r="EQ123" i="7" s="1"/>
  <c r="ER123" i="7" s="1"/>
  <c r="BY138" i="7"/>
  <c r="EQ138" i="7" s="1"/>
  <c r="ER138" i="7" s="1"/>
  <c r="ET93" i="7"/>
  <c r="ES93" i="7"/>
  <c r="BY24" i="7"/>
  <c r="EQ24" i="7" s="1"/>
  <c r="ER24" i="7" s="1"/>
  <c r="ES19" i="7"/>
  <c r="ET19" i="7"/>
  <c r="ES80" i="7"/>
  <c r="ET80" i="7"/>
  <c r="ES151" i="7"/>
  <c r="ET151" i="7"/>
  <c r="BY126" i="7"/>
  <c r="EQ126" i="7" s="1"/>
  <c r="ER126" i="7" s="1"/>
  <c r="BY149" i="7"/>
  <c r="EQ149" i="7" s="1"/>
  <c r="ER149" i="7" s="1"/>
  <c r="BY163" i="7"/>
  <c r="EQ163" i="7" s="1"/>
  <c r="ER163" i="7" s="1"/>
  <c r="BY112" i="7"/>
  <c r="EQ112" i="7" s="1"/>
  <c r="ER112" i="7" s="1"/>
  <c r="BY32" i="7"/>
  <c r="EQ32" i="7" s="1"/>
  <c r="ER32" i="7" s="1"/>
  <c r="ES41" i="7"/>
  <c r="ET41" i="7"/>
  <c r="ES35" i="7"/>
  <c r="ET35" i="7"/>
  <c r="ER49" i="7"/>
  <c r="BY127" i="7"/>
  <c r="EQ127" i="7" s="1"/>
  <c r="ER127" i="7" s="1"/>
  <c r="BY109" i="7"/>
  <c r="EQ109" i="7" s="1"/>
  <c r="ER109" i="7" s="1"/>
  <c r="ER51" i="7"/>
  <c r="ET26" i="7"/>
  <c r="ES26" i="7"/>
  <c r="ES84" i="7"/>
  <c r="ET84" i="7"/>
  <c r="ER121" i="7"/>
  <c r="BY150" i="7"/>
  <c r="EQ150" i="7" s="1"/>
  <c r="ER150" i="7" s="1"/>
  <c r="ER145" i="7"/>
  <c r="BY17" i="7"/>
  <c r="EQ17" i="7" s="1"/>
  <c r="ER17" i="7" s="1"/>
  <c r="BY124" i="7"/>
  <c r="EQ124" i="7" s="1"/>
  <c r="ER124" i="7" s="1"/>
  <c r="ET167" i="7"/>
  <c r="ES167" i="7"/>
  <c r="ET15" i="7"/>
  <c r="ES15" i="7"/>
  <c r="BY104" i="7"/>
  <c r="EQ104" i="7" s="1"/>
  <c r="ER104" i="7" s="1"/>
  <c r="ET97" i="7"/>
  <c r="ES97" i="7"/>
  <c r="BY122" i="7"/>
  <c r="EQ122" i="7" s="1"/>
  <c r="ER122" i="7" s="1"/>
  <c r="BY117" i="7"/>
  <c r="EQ117" i="7" s="1"/>
  <c r="ER117" i="7" s="1"/>
  <c r="BY136" i="7"/>
  <c r="EQ136" i="7" s="1"/>
  <c r="ER136" i="7" s="1"/>
  <c r="ET157" i="7"/>
  <c r="ES157" i="7"/>
  <c r="ET159" i="7"/>
  <c r="ES159" i="7"/>
  <c r="ES106" i="7"/>
  <c r="BX169" i="7"/>
  <c r="BY2" i="7"/>
  <c r="EO169" i="7"/>
  <c r="EP169" i="7"/>
  <c r="BY147" i="7"/>
  <c r="EQ147" i="7" s="1"/>
  <c r="ER147" i="7" s="1"/>
  <c r="BY134" i="7"/>
  <c r="EQ134" i="7" s="1"/>
  <c r="ER134" i="7" s="1"/>
  <c r="ES162" i="7"/>
  <c r="ET162" i="7"/>
  <c r="ET63" i="7"/>
  <c r="ES63" i="7"/>
  <c r="ET73" i="7"/>
  <c r="ES73" i="7"/>
  <c r="BY142" i="7"/>
  <c r="EQ142" i="7" s="1"/>
  <c r="ER142" i="7" s="1"/>
  <c r="BY21" i="7"/>
  <c r="EQ21" i="7" s="1"/>
  <c r="ER21" i="7" s="1"/>
  <c r="ET22" i="7"/>
  <c r="ER119" i="7"/>
  <c r="BY148" i="7"/>
  <c r="EQ148" i="7" s="1"/>
  <c r="ER148" i="7" s="1"/>
  <c r="ES155" i="7"/>
  <c r="ET155" i="7"/>
  <c r="BY131" i="7"/>
  <c r="EQ131" i="7" s="1"/>
  <c r="ER131" i="7" s="1"/>
  <c r="ET8" i="7"/>
  <c r="ES8" i="7"/>
  <c r="BY135" i="7"/>
  <c r="EQ135" i="7" s="1"/>
  <c r="ER135" i="7" s="1"/>
  <c r="BY14" i="7"/>
  <c r="EQ14" i="7" s="1"/>
  <c r="ER14" i="7" s="1"/>
  <c r="ES45" i="7"/>
  <c r="ET45" i="7"/>
  <c r="ES70" i="7"/>
  <c r="ET70" i="7"/>
  <c r="ET60" i="7" l="1"/>
  <c r="ES115" i="7"/>
  <c r="ES10" i="7"/>
  <c r="ET111" i="7"/>
  <c r="ES125" i="7"/>
  <c r="ES94" i="7"/>
  <c r="ET85" i="7"/>
  <c r="ES107" i="7"/>
  <c r="ET118" i="7"/>
  <c r="ES56" i="7"/>
  <c r="ES34" i="7"/>
  <c r="ES28" i="7"/>
  <c r="ET165" i="7"/>
  <c r="ET141" i="7"/>
  <c r="ET144" i="7"/>
  <c r="ET42" i="7"/>
  <c r="ES82" i="7"/>
  <c r="ET74" i="7"/>
  <c r="ES53" i="7"/>
  <c r="ES92" i="7"/>
  <c r="ES133" i="7"/>
  <c r="ET77" i="7"/>
  <c r="ET128" i="7"/>
  <c r="ET47" i="7"/>
  <c r="ES129" i="7"/>
  <c r="ES166" i="7"/>
  <c r="ET166" i="7"/>
  <c r="ES9" i="7"/>
  <c r="ET69" i="7"/>
  <c r="ES100" i="7"/>
  <c r="ET100" i="7"/>
  <c r="ES25" i="7"/>
  <c r="ET137" i="7"/>
  <c r="ES137" i="7"/>
  <c r="ES39" i="7"/>
  <c r="ET20" i="7"/>
  <c r="ET14" i="7"/>
  <c r="ES14" i="7"/>
  <c r="ET131" i="7"/>
  <c r="ES131" i="7"/>
  <c r="ET123" i="7"/>
  <c r="ES123" i="7"/>
  <c r="ET135" i="7"/>
  <c r="ES135" i="7"/>
  <c r="ES134" i="7"/>
  <c r="ET134" i="7"/>
  <c r="ET163" i="7"/>
  <c r="ES163" i="7"/>
  <c r="ET108" i="7"/>
  <c r="ES108" i="7"/>
  <c r="ET139" i="7"/>
  <c r="ES139" i="7"/>
  <c r="ET164" i="7"/>
  <c r="ES164" i="7"/>
  <c r="ET136" i="7"/>
  <c r="ES136" i="7"/>
  <c r="ES146" i="7"/>
  <c r="ET146" i="7"/>
  <c r="ET18" i="7"/>
  <c r="ES18" i="7"/>
  <c r="ET142" i="7"/>
  <c r="ES142" i="7"/>
  <c r="ET117" i="7"/>
  <c r="ES117" i="7"/>
  <c r="ES150" i="7"/>
  <c r="ET150" i="7"/>
  <c r="ET109" i="7"/>
  <c r="ES109" i="7"/>
  <c r="ES126" i="7"/>
  <c r="ET126" i="7"/>
  <c r="ET113" i="7"/>
  <c r="ES113" i="7"/>
  <c r="ET112" i="7"/>
  <c r="ES112" i="7"/>
  <c r="ET143" i="7"/>
  <c r="ES143" i="7"/>
  <c r="ET116" i="7"/>
  <c r="ES116" i="7"/>
  <c r="ES148" i="7"/>
  <c r="ET148" i="7"/>
  <c r="ET147" i="7"/>
  <c r="ES147" i="7"/>
  <c r="ES104" i="7"/>
  <c r="ET104" i="7"/>
  <c r="ET17" i="7"/>
  <c r="ES17" i="7"/>
  <c r="ET32" i="7"/>
  <c r="ES32" i="7"/>
  <c r="ET149" i="7"/>
  <c r="ES149" i="7"/>
  <c r="ET24" i="7"/>
  <c r="ES24" i="7"/>
  <c r="ET105" i="7"/>
  <c r="ES105" i="7"/>
  <c r="ES130" i="7"/>
  <c r="ET130" i="7"/>
  <c r="ES102" i="7"/>
  <c r="ET102" i="7"/>
  <c r="ET122" i="7"/>
  <c r="ES122" i="7"/>
  <c r="BY169" i="7"/>
  <c r="ET138" i="7"/>
  <c r="ES138" i="7"/>
  <c r="ET21" i="7"/>
  <c r="ES21" i="7"/>
  <c r="ET121" i="7"/>
  <c r="ES121" i="7"/>
  <c r="ET49" i="7"/>
  <c r="ES49" i="7"/>
  <c r="ES61" i="7"/>
  <c r="ET61" i="7"/>
  <c r="ET101" i="7"/>
  <c r="ES101" i="7"/>
  <c r="ET145" i="7"/>
  <c r="ES145" i="7"/>
  <c r="ET51" i="7"/>
  <c r="ES51" i="7"/>
  <c r="ET6" i="7"/>
  <c r="ES6" i="7"/>
  <c r="ES16" i="7"/>
  <c r="ET16" i="7"/>
  <c r="ET13" i="7"/>
  <c r="ES13" i="7"/>
  <c r="ET127" i="7"/>
  <c r="ES127" i="7"/>
  <c r="ET119" i="7"/>
  <c r="ES119" i="7"/>
  <c r="EQ2" i="7"/>
  <c r="ES124" i="7"/>
  <c r="ET124" i="7"/>
  <c r="ET23" i="7"/>
  <c r="ES23" i="7"/>
  <c r="EQ169" i="7" l="1"/>
  <c r="ER2" i="7"/>
  <c r="ER169" i="7" l="1"/>
  <c r="ET2" i="7"/>
  <c r="ET169" i="7" s="1"/>
  <c r="ES2" i="7"/>
  <c r="ES169" i="7" s="1"/>
</calcChain>
</file>

<file path=xl/comments1.xml><?xml version="1.0" encoding="utf-8"?>
<comments xmlns="http://schemas.openxmlformats.org/spreadsheetml/2006/main">
  <authors>
    <author>Scott R. Leitstein</author>
    <author>sl55853</author>
  </authors>
  <commentList>
    <comment ref="A1" authorId="0">
      <text>
        <r>
          <rPr>
            <b/>
            <sz val="9"/>
            <color indexed="81"/>
            <rFont val="Tahoma"/>
            <family val="2"/>
          </rPr>
          <t>PCR: Project Change Request:</t>
        </r>
        <r>
          <rPr>
            <sz val="9"/>
            <color indexed="81"/>
            <rFont val="Tahoma"/>
            <family val="2"/>
          </rPr>
          <t xml:space="preserve"> Used to track changes from the 'Original' PCR to new PCRs as the project progress.  May also be used to distinguish between phases of the project.
</t>
        </r>
      </text>
    </comment>
    <comment ref="E1" authorId="0">
      <text>
        <r>
          <rPr>
            <b/>
            <sz val="9"/>
            <color indexed="81"/>
            <rFont val="Tahoma"/>
            <family val="2"/>
          </rPr>
          <t xml:space="preserve">Server config completed: </t>
        </r>
        <r>
          <rPr>
            <sz val="9"/>
            <color indexed="81"/>
            <rFont val="Tahoma"/>
            <family val="2"/>
          </rPr>
          <t xml:space="preserve">Double-click to enter checkmark which indicates the server's CPU and RAM have been installed and properly configured.
</t>
        </r>
        <r>
          <rPr>
            <b/>
            <sz val="9"/>
            <color indexed="81"/>
            <rFont val="Tahoma"/>
            <family val="2"/>
          </rPr>
          <t>Note:</t>
        </r>
        <r>
          <rPr>
            <sz val="9"/>
            <color indexed="81"/>
            <rFont val="Tahoma"/>
            <family val="2"/>
          </rPr>
          <t xml:space="preserve"> Double-click toggles checkmark.</t>
        </r>
      </text>
    </comment>
    <comment ref="F1" authorId="0">
      <text>
        <r>
          <rPr>
            <b/>
            <sz val="9"/>
            <color indexed="81"/>
            <rFont val="Tahoma"/>
            <family val="2"/>
          </rPr>
          <t xml:space="preserve">Storage config completed: </t>
        </r>
        <r>
          <rPr>
            <sz val="9"/>
            <color indexed="81"/>
            <rFont val="Tahoma"/>
            <family val="2"/>
          </rPr>
          <t xml:space="preserve">Double-click to enter checkmark which indicates the server's storage (SAN &amp; NAS) requirements  have been completed and properly configured.
</t>
        </r>
        <r>
          <rPr>
            <b/>
            <sz val="9"/>
            <color indexed="81"/>
            <rFont val="Tahoma"/>
            <family val="2"/>
          </rPr>
          <t>Note:</t>
        </r>
        <r>
          <rPr>
            <sz val="9"/>
            <color indexed="81"/>
            <rFont val="Tahoma"/>
            <family val="2"/>
          </rPr>
          <t xml:space="preserve"> Double-click toggles checkmark.</t>
        </r>
      </text>
    </comment>
    <comment ref="L1" authorId="0">
      <text>
        <r>
          <rPr>
            <b/>
            <sz val="9"/>
            <color indexed="81"/>
            <rFont val="Tahoma"/>
            <family val="2"/>
          </rPr>
          <t xml:space="preserve">Verified By: </t>
        </r>
        <r>
          <rPr>
            <sz val="9"/>
            <color indexed="81"/>
            <rFont val="Tahoma"/>
            <family val="2"/>
          </rPr>
          <t xml:space="preserve">Provide name of who verified the completed server's configuration.
</t>
        </r>
      </text>
    </comment>
    <comment ref="N1" authorId="0">
      <text>
        <r>
          <rPr>
            <b/>
            <sz val="9"/>
            <color indexed="81"/>
            <rFont val="Tahoma"/>
            <family val="2"/>
          </rPr>
          <t>DC (Data Center):</t>
        </r>
        <r>
          <rPr>
            <sz val="9"/>
            <color indexed="81"/>
            <rFont val="Tahoma"/>
            <family val="2"/>
          </rPr>
          <t xml:space="preserve"> Select the DC for which the server is to be located.
</t>
        </r>
      </text>
    </comment>
    <comment ref="O1" authorId="0">
      <text>
        <r>
          <rPr>
            <b/>
            <sz val="9"/>
            <color indexed="81"/>
            <rFont val="Tahoma"/>
            <family val="2"/>
          </rPr>
          <t xml:space="preserve">Region: </t>
        </r>
        <r>
          <rPr>
            <sz val="9"/>
            <color indexed="81"/>
            <rFont val="Tahoma"/>
            <family val="2"/>
          </rPr>
          <t xml:space="preserve">Select Region for which the server is located.
</t>
        </r>
      </text>
    </comment>
    <comment ref="P1" authorId="0">
      <text>
        <r>
          <rPr>
            <b/>
            <sz val="9"/>
            <color indexed="81"/>
            <rFont val="Tahoma"/>
            <family val="2"/>
          </rPr>
          <t xml:space="preserve">Country: </t>
        </r>
        <r>
          <rPr>
            <sz val="9"/>
            <color indexed="81"/>
            <rFont val="Tahoma"/>
            <family val="2"/>
          </rPr>
          <t>Select Country for which the server is assigned/located.</t>
        </r>
      </text>
    </comment>
    <comment ref="Q1" authorId="0">
      <text>
        <r>
          <rPr>
            <b/>
            <sz val="9"/>
            <color indexed="81"/>
            <rFont val="Tahoma"/>
            <family val="2"/>
          </rPr>
          <t>Env Label:</t>
        </r>
        <r>
          <rPr>
            <sz val="9"/>
            <color indexed="81"/>
            <rFont val="Tahoma"/>
            <family val="2"/>
          </rPr>
          <t xml:space="preserve"> Use this column to create unique environments labels. 
For example: To indicate combined envs (e.g. PERF/UAT) or to indicate multiple std envs (e.g. PROD1, PROD2, etc.)
</t>
        </r>
        <r>
          <rPr>
            <b/>
            <sz val="9"/>
            <color indexed="81"/>
            <rFont val="Tahoma"/>
            <family val="2"/>
          </rPr>
          <t>Note:</t>
        </r>
        <r>
          <rPr>
            <sz val="9"/>
            <color indexed="81"/>
            <rFont val="Tahoma"/>
            <family val="2"/>
          </rPr>
          <t xml:space="preserve"> Cost calculations will be based on the Std Env column 'Env' designation.
</t>
        </r>
      </text>
    </comment>
    <comment ref="R1" authorId="0">
      <text>
        <r>
          <rPr>
            <b/>
            <sz val="9"/>
            <color indexed="81"/>
            <rFont val="Tahoma"/>
            <family val="2"/>
          </rPr>
          <t>Env (Environment):</t>
        </r>
        <r>
          <rPr>
            <sz val="9"/>
            <color indexed="81"/>
            <rFont val="Tahoma"/>
            <family val="2"/>
          </rPr>
          <t xml:space="preserve"> Select the '</t>
        </r>
        <r>
          <rPr>
            <b/>
            <sz val="9"/>
            <color indexed="81"/>
            <rFont val="Tahoma"/>
            <family val="2"/>
          </rPr>
          <t>Standard</t>
        </r>
        <r>
          <rPr>
            <sz val="9"/>
            <color indexed="81"/>
            <rFont val="Tahoma"/>
            <family val="2"/>
          </rPr>
          <t>' environment type for which the server is assigned.</t>
        </r>
      </text>
    </comment>
    <comment ref="S1" authorId="0">
      <text>
        <r>
          <rPr>
            <b/>
            <sz val="9"/>
            <color indexed="81"/>
            <rFont val="Tahoma"/>
            <family val="2"/>
          </rPr>
          <t>Server TCRS:</t>
        </r>
        <r>
          <rPr>
            <sz val="9"/>
            <color indexed="81"/>
            <rFont val="Tahoma"/>
            <family val="2"/>
          </rPr>
          <t xml:space="preserve"> The TCRS # associated with the server.</t>
        </r>
      </text>
    </comment>
    <comment ref="U1" authorId="0">
      <text>
        <r>
          <rPr>
            <b/>
            <sz val="9"/>
            <color indexed="81"/>
            <rFont val="Tahoma"/>
            <family val="2"/>
          </rPr>
          <t>Product Owner:</t>
        </r>
        <r>
          <rPr>
            <sz val="9"/>
            <color indexed="81"/>
            <rFont val="Tahoma"/>
            <family val="2"/>
          </rPr>
          <t xml:space="preserve"> Provide the Owner of the line item.</t>
        </r>
        <r>
          <rPr>
            <sz val="9"/>
            <color indexed="81"/>
            <rFont val="Tahoma"/>
            <family val="2"/>
          </rPr>
          <t xml:space="preserve">
</t>
        </r>
      </text>
    </comment>
    <comment ref="V1" authorId="0">
      <text>
        <r>
          <rPr>
            <b/>
            <sz val="9"/>
            <color indexed="81"/>
            <rFont val="Tahoma"/>
            <family val="2"/>
          </rPr>
          <t xml:space="preserve">Description: </t>
        </r>
        <r>
          <rPr>
            <sz val="9"/>
            <color indexed="81"/>
            <rFont val="Tahoma"/>
            <family val="2"/>
          </rPr>
          <t xml:space="preserve">Provide detailed description of the line item.  For example, a high-level primary function or purpose for the line item.
</t>
        </r>
      </text>
    </comment>
    <comment ref="W1" authorId="0">
      <text>
        <r>
          <rPr>
            <b/>
            <sz val="9"/>
            <color indexed="81"/>
            <rFont val="Tahoma"/>
            <family val="2"/>
          </rPr>
          <t xml:space="preserve">Software List: </t>
        </r>
        <r>
          <rPr>
            <sz val="9"/>
            <color indexed="81"/>
            <rFont val="Tahoma"/>
            <family val="2"/>
          </rPr>
          <t xml:space="preserve">Select all of the software products to be installed on the server.
</t>
        </r>
        <r>
          <rPr>
            <b/>
            <sz val="9"/>
            <color indexed="81"/>
            <rFont val="Tahoma"/>
            <family val="2"/>
          </rPr>
          <t>Note</t>
        </r>
        <r>
          <rPr>
            <b/>
            <vertAlign val="superscript"/>
            <sz val="9"/>
            <color indexed="81"/>
            <rFont val="Tahoma"/>
            <family val="2"/>
          </rPr>
          <t>1</t>
        </r>
        <r>
          <rPr>
            <b/>
            <sz val="9"/>
            <color indexed="81"/>
            <rFont val="Tahoma"/>
            <family val="2"/>
          </rPr>
          <t>:</t>
        </r>
        <r>
          <rPr>
            <sz val="9"/>
            <color indexed="81"/>
            <rFont val="Tahoma"/>
            <family val="2"/>
          </rPr>
          <t xml:space="preserve"> This column will accept multiple entries and will automatically generate a comma-delimited list.
</t>
        </r>
        <r>
          <rPr>
            <b/>
            <sz val="9"/>
            <color indexed="81"/>
            <rFont val="Tahoma"/>
            <family val="2"/>
          </rPr>
          <t>Note</t>
        </r>
        <r>
          <rPr>
            <b/>
            <vertAlign val="superscript"/>
            <sz val="9"/>
            <color indexed="81"/>
            <rFont val="Tahoma"/>
            <family val="2"/>
          </rPr>
          <t>2</t>
        </r>
        <r>
          <rPr>
            <b/>
            <sz val="9"/>
            <color indexed="81"/>
            <rFont val="Tahoma"/>
            <family val="2"/>
          </rPr>
          <t xml:space="preserve">: </t>
        </r>
        <r>
          <rPr>
            <sz val="9"/>
            <color indexed="81"/>
            <rFont val="Tahoma"/>
            <family val="2"/>
          </rPr>
          <t>To remove any item, simply reselect that item.</t>
        </r>
      </text>
    </comment>
    <comment ref="X1" authorId="0">
      <text>
        <r>
          <rPr>
            <sz val="11"/>
            <color theme="1"/>
            <rFont val="Calibri"/>
            <family val="2"/>
            <scheme val="minor"/>
          </rPr>
          <t>Select the type of server (e.g. AP, DB, or WW)</t>
        </r>
      </text>
    </comment>
    <comment ref="Y1" authorId="0">
      <text>
        <r>
          <rPr>
            <b/>
            <sz val="9"/>
            <color indexed="81"/>
            <rFont val="Tahoma"/>
            <family val="2"/>
          </rPr>
          <t>Product (Acronym):</t>
        </r>
        <r>
          <rPr>
            <sz val="9"/>
            <color indexed="81"/>
            <rFont val="Tahoma"/>
            <family val="2"/>
          </rPr>
          <t xml:space="preserve"> Provide Product name or acronym (e.g. ESB, FinCAD, COPS, etc.)
</t>
        </r>
      </text>
    </comment>
    <comment ref="Z1" authorId="1">
      <text>
        <r>
          <rPr>
            <b/>
            <sz val="8"/>
            <color indexed="81"/>
            <rFont val="Tahoma"/>
            <family val="2"/>
          </rPr>
          <t xml:space="preserve">Usage: </t>
        </r>
        <r>
          <rPr>
            <sz val="8"/>
            <color indexed="81"/>
            <rFont val="Tahoma"/>
            <family val="2"/>
          </rPr>
          <t>Used by Capacity Analysis and Planning Team for reporting</t>
        </r>
      </text>
    </comment>
    <comment ref="AA1" authorId="0">
      <text>
        <r>
          <rPr>
            <b/>
            <sz val="9"/>
            <color indexed="81"/>
            <rFont val="Tahoma"/>
            <family val="2"/>
          </rPr>
          <t xml:space="preserve">CSI App ID: </t>
        </r>
        <r>
          <rPr>
            <sz val="9"/>
            <color indexed="81"/>
            <rFont val="Tahoma"/>
            <family val="2"/>
          </rPr>
          <t>The CSI App ID that the line item is registered</t>
        </r>
        <r>
          <rPr>
            <sz val="9"/>
            <color indexed="81"/>
            <rFont val="Tahoma"/>
            <family val="2"/>
          </rPr>
          <t xml:space="preserve">
</t>
        </r>
      </text>
    </comment>
    <comment ref="AB1" authorId="0">
      <text>
        <r>
          <rPr>
            <b/>
            <sz val="9"/>
            <color indexed="81"/>
            <rFont val="Tahoma"/>
            <family val="2"/>
          </rPr>
          <t xml:space="preserve">Existing Server: </t>
        </r>
        <r>
          <rPr>
            <sz val="9"/>
            <color indexed="81"/>
            <rFont val="Tahoma"/>
            <family val="2"/>
          </rPr>
          <t xml:space="preserve">Enter 'Yes - Outside this BoM' if the server exists outside this BoM, otherwise select 'Yes - inside this BoM' if this item is upgrading a server already created/accounted for within this BoM.
</t>
        </r>
        <r>
          <rPr>
            <b/>
            <sz val="9"/>
            <color indexed="81"/>
            <rFont val="Tahoma"/>
            <family val="2"/>
          </rPr>
          <t>Note:</t>
        </r>
        <r>
          <rPr>
            <sz val="9"/>
            <color indexed="81"/>
            <rFont val="Tahoma"/>
            <family val="2"/>
          </rPr>
          <t xml:space="preserve"> You may only create one (1) 'Yes - Inside this BoM' entry, otherwise an internal calculations may result.</t>
        </r>
      </text>
    </comment>
    <comment ref="AC1" authorId="0">
      <text>
        <r>
          <rPr>
            <b/>
            <sz val="9"/>
            <color indexed="81"/>
            <rFont val="Tahoma"/>
            <family val="2"/>
          </rPr>
          <t xml:space="preserve">Existing CPUs: </t>
        </r>
        <r>
          <rPr>
            <sz val="9"/>
            <color indexed="81"/>
            <rFont val="Tahoma"/>
            <family val="2"/>
          </rPr>
          <t xml:space="preserve">Provide the # of CPUs not accounted for in this BoM.
</t>
        </r>
      </text>
    </comment>
    <comment ref="AE1" authorId="0">
      <text>
        <r>
          <rPr>
            <b/>
            <sz val="9"/>
            <color indexed="81"/>
            <rFont val="Tahoma"/>
            <family val="2"/>
          </rPr>
          <t xml:space="preserve">Existing CPUs: </t>
        </r>
        <r>
          <rPr>
            <sz val="9"/>
            <color indexed="81"/>
            <rFont val="Tahoma"/>
            <family val="2"/>
          </rPr>
          <t xml:space="preserve">If an existing server, provide current amount of RAM (GB).
</t>
        </r>
      </text>
    </comment>
    <comment ref="AF1" authorId="0">
      <text>
        <r>
          <rPr>
            <b/>
            <sz val="9"/>
            <color indexed="81"/>
            <rFont val="Tahoma"/>
            <family val="2"/>
          </rPr>
          <t xml:space="preserve">Use existing server config...: </t>
        </r>
        <r>
          <rPr>
            <sz val="9"/>
            <color indexed="81"/>
            <rFont val="Tahoma"/>
            <family val="2"/>
          </rPr>
          <t xml:space="preserve">If SW has already been purchased for this server, then clear this option.  If you're purchasing the SW licenses for the first time then include the server configuration.  This BoM assumes new SW purchases for all exsiting servers.
</t>
        </r>
        <r>
          <rPr>
            <b/>
            <sz val="9"/>
            <color indexed="81"/>
            <rFont val="Tahoma"/>
            <family val="2"/>
          </rPr>
          <t>Note:</t>
        </r>
        <r>
          <rPr>
            <sz val="9"/>
            <color indexed="81"/>
            <rFont val="Tahoma"/>
            <family val="2"/>
          </rPr>
          <t xml:space="preserve"> To toggle selection, simply double-click cell.
</t>
        </r>
      </text>
    </comment>
    <comment ref="AG1" authorId="0">
      <text>
        <r>
          <rPr>
            <b/>
            <sz val="9"/>
            <color indexed="81"/>
            <rFont val="Tahoma"/>
            <family val="2"/>
          </rPr>
          <t xml:space="preserve">Original Alias: </t>
        </r>
        <r>
          <rPr>
            <sz val="9"/>
            <color indexed="81"/>
            <rFont val="Tahoma"/>
            <family val="2"/>
          </rPr>
          <t xml:space="preserve">Use this to keep track of the original alias.  This will allow tracking of server changes if the Alias should change.
</t>
        </r>
      </text>
    </comment>
    <comment ref="AI1" authorId="0">
      <text>
        <r>
          <rPr>
            <b/>
            <sz val="9"/>
            <color indexed="81"/>
            <rFont val="Tahoma"/>
            <family val="2"/>
          </rPr>
          <t xml:space="preserve">Alias: </t>
        </r>
        <r>
          <rPr>
            <sz val="9"/>
            <color indexed="81"/>
            <rFont val="Tahoma"/>
            <family val="2"/>
          </rPr>
          <t xml:space="preserve">The common name for the device
</t>
        </r>
        <r>
          <rPr>
            <b/>
            <sz val="9"/>
            <color indexed="81"/>
            <rFont val="Tahoma"/>
            <family val="2"/>
          </rPr>
          <t xml:space="preserve">Note: </t>
        </r>
        <r>
          <rPr>
            <sz val="9"/>
            <color indexed="81"/>
            <rFont val="Tahoma"/>
            <family val="2"/>
          </rPr>
          <t xml:space="preserve">This can be the same as the hostname.
</t>
        </r>
        <r>
          <rPr>
            <b/>
            <sz val="9"/>
            <color indexed="81"/>
            <rFont val="Tahoma"/>
            <family val="2"/>
          </rPr>
          <t xml:space="preserve">Note: </t>
        </r>
        <r>
          <rPr>
            <sz val="9"/>
            <color indexed="81"/>
            <rFont val="Tahoma"/>
            <family val="2"/>
          </rPr>
          <t>Highlighted cells indicate duplicate entries.</t>
        </r>
      </text>
    </comment>
    <comment ref="AK1" authorId="0">
      <text>
        <r>
          <rPr>
            <b/>
            <sz val="9"/>
            <color indexed="81"/>
            <rFont val="Tahoma"/>
            <family val="2"/>
          </rPr>
          <t xml:space="preserve">Hostname: </t>
        </r>
        <r>
          <rPr>
            <sz val="9"/>
            <color indexed="81"/>
            <rFont val="Tahoma"/>
            <family val="2"/>
          </rPr>
          <t xml:space="preserve">The actual device name.
</t>
        </r>
      </text>
    </comment>
    <comment ref="AL1" authorId="0">
      <text>
        <r>
          <rPr>
            <b/>
            <sz val="9"/>
            <color indexed="81"/>
            <rFont val="Tahoma"/>
            <family val="2"/>
          </rPr>
          <t xml:space="preserve">Domain: </t>
        </r>
        <r>
          <rPr>
            <sz val="9"/>
            <color indexed="81"/>
            <rFont val="Tahoma"/>
            <family val="2"/>
          </rPr>
          <t xml:space="preserve">The device's fully qualified domain name
</t>
        </r>
      </text>
    </comment>
    <comment ref="AM1" authorId="0">
      <text>
        <r>
          <rPr>
            <b/>
            <sz val="9"/>
            <color indexed="81"/>
            <rFont val="Tahoma"/>
            <family val="2"/>
          </rPr>
          <t xml:space="preserve">Server Model: </t>
        </r>
        <r>
          <rPr>
            <sz val="9"/>
            <color indexed="81"/>
            <rFont val="Tahoma"/>
            <family val="2"/>
          </rPr>
          <t xml:space="preserve">Select the server model from the pull-down menu
</t>
        </r>
      </text>
    </comment>
    <comment ref="AN1" authorId="0">
      <text>
        <r>
          <rPr>
            <b/>
            <sz val="9"/>
            <color indexed="81"/>
            <rFont val="Tahoma"/>
            <family val="2"/>
          </rPr>
          <t>Server Tier: This column is used for internal calculations.  Do NOT touch!</t>
        </r>
      </text>
    </comment>
    <comment ref="AP1" authorId="0">
      <text>
        <r>
          <rPr>
            <b/>
            <sz val="9"/>
            <color indexed="81"/>
            <rFont val="Tahoma"/>
            <family val="2"/>
          </rPr>
          <t>Virtual Platform Storage Type:</t>
        </r>
        <r>
          <rPr>
            <sz val="9"/>
            <color indexed="81"/>
            <rFont val="Tahoma"/>
            <family val="2"/>
          </rPr>
          <t xml:space="preserve"> pSeries default storage platform is SAN, all VMware environments default is NAS except for VMware LVM which is SAN.
</t>
        </r>
      </text>
    </comment>
    <comment ref="AQ1" authorId="0">
      <text>
        <r>
          <rPr>
            <b/>
            <sz val="9"/>
            <color indexed="81"/>
            <rFont val="Tahoma"/>
            <family val="2"/>
          </rPr>
          <t xml:space="preserve">O/S: </t>
        </r>
        <r>
          <rPr>
            <sz val="9"/>
            <color indexed="81"/>
            <rFont val="Tahoma"/>
            <family val="2"/>
          </rPr>
          <t xml:space="preserve">Select O/S from pull-down menu.
</t>
        </r>
        <r>
          <rPr>
            <b/>
            <sz val="9"/>
            <color indexed="81"/>
            <rFont val="Tahoma"/>
            <family val="2"/>
          </rPr>
          <t xml:space="preserve">Note: </t>
        </r>
        <r>
          <rPr>
            <sz val="9"/>
            <color indexed="81"/>
            <rFont val="Tahoma"/>
            <family val="2"/>
          </rPr>
          <t xml:space="preserve">the version of OS selected will not affect the cost of the line item.
</t>
        </r>
      </text>
    </comment>
    <comment ref="AR1" authorId="0">
      <text>
        <r>
          <rPr>
            <b/>
            <sz val="9"/>
            <color indexed="81"/>
            <rFont val="Tahoma"/>
            <family val="2"/>
          </rPr>
          <t xml:space="preserve">CPU: </t>
        </r>
        <r>
          <rPr>
            <sz val="9"/>
            <color indexed="81"/>
            <rFont val="Tahoma"/>
            <family val="2"/>
          </rPr>
          <t>The number of CPUs for the device.</t>
        </r>
      </text>
    </comment>
    <comment ref="AT1" authorId="0">
      <text>
        <r>
          <rPr>
            <b/>
            <sz val="9"/>
            <color indexed="81"/>
            <rFont val="Tahoma"/>
            <family val="2"/>
          </rPr>
          <t>Licensed Cores:</t>
        </r>
        <r>
          <rPr>
            <sz val="9"/>
            <color indexed="81"/>
            <rFont val="Tahoma"/>
            <family val="2"/>
          </rPr>
          <t xml:space="preserve"> This represents the number of licensed cores that products will used for software licensing purposes.
</t>
        </r>
        <r>
          <rPr>
            <b/>
            <sz val="9"/>
            <color indexed="81"/>
            <rFont val="Tahoma"/>
            <family val="2"/>
          </rPr>
          <t xml:space="preserve">Note: </t>
        </r>
        <r>
          <rPr>
            <sz val="9"/>
            <color indexed="81"/>
            <rFont val="Tahoma"/>
            <family val="2"/>
          </rPr>
          <t xml:space="preserve">For </t>
        </r>
        <r>
          <rPr>
            <b/>
            <sz val="9"/>
            <color indexed="81"/>
            <rFont val="Tahoma"/>
            <family val="2"/>
          </rPr>
          <t>TIBCO</t>
        </r>
        <r>
          <rPr>
            <sz val="9"/>
            <color indexed="81"/>
            <rFont val="Tahoma"/>
            <family val="2"/>
          </rPr>
          <t xml:space="preserve">, a processor is = .75 the # of cores, however, this is already calculated in the license cost you do </t>
        </r>
        <r>
          <rPr>
            <b/>
            <sz val="9"/>
            <color indexed="81"/>
            <rFont val="Tahoma"/>
            <family val="2"/>
          </rPr>
          <t>not</t>
        </r>
        <r>
          <rPr>
            <sz val="9"/>
            <color indexed="81"/>
            <rFont val="Tahoma"/>
            <family val="2"/>
          </rPr>
          <t xml:space="preserve"> need to adjust. The license model and costing already accounts for any software that uses a core factor (i.e. 1 core = .75 processors).  This column should represent the actual # of licensed units required (typically 1:1 with Cores) with the exception of VMWare.
</t>
        </r>
        <r>
          <rPr>
            <b/>
            <sz val="9"/>
            <color indexed="81"/>
            <rFont val="Tahoma"/>
            <family val="2"/>
          </rPr>
          <t xml:space="preserve">Note: </t>
        </r>
        <r>
          <rPr>
            <sz val="9"/>
            <color indexed="81"/>
            <rFont val="Tahoma"/>
            <family val="2"/>
          </rPr>
          <t xml:space="preserve">For </t>
        </r>
        <r>
          <rPr>
            <b/>
            <sz val="9"/>
            <color indexed="81"/>
            <rFont val="Tahoma"/>
            <family val="2"/>
          </rPr>
          <t>VMware</t>
        </r>
        <r>
          <rPr>
            <sz val="9"/>
            <color indexed="81"/>
            <rFont val="Tahoma"/>
            <family val="2"/>
          </rPr>
          <t xml:space="preserve"> the value should reflect 1/2 of the allocated vCPUs in the Cores column.
</t>
        </r>
        <r>
          <rPr>
            <b/>
            <sz val="9"/>
            <color indexed="81"/>
            <rFont val="Tahoma"/>
            <family val="2"/>
          </rPr>
          <t xml:space="preserve">
</t>
        </r>
        <r>
          <rPr>
            <sz val="9"/>
            <color indexed="81"/>
            <rFont val="Tahoma"/>
            <family val="2"/>
          </rPr>
          <t xml:space="preserve">
</t>
        </r>
      </text>
    </comment>
    <comment ref="AV1" authorId="0">
      <text>
        <r>
          <rPr>
            <b/>
            <sz val="9"/>
            <color indexed="81"/>
            <rFont val="Tahoma"/>
            <family val="2"/>
          </rPr>
          <t xml:space="preserve">Memory: </t>
        </r>
        <r>
          <rPr>
            <sz val="9"/>
            <color indexed="81"/>
            <rFont val="Tahoma"/>
            <family val="2"/>
          </rPr>
          <t xml:space="preserve">The amount of memory to be allocated for the server.
</t>
        </r>
        <r>
          <rPr>
            <b/>
            <sz val="9"/>
            <color indexed="81"/>
            <rFont val="Tahoma"/>
            <family val="2"/>
          </rPr>
          <t>Highlighted Cells:</t>
        </r>
        <r>
          <rPr>
            <sz val="9"/>
            <color indexed="81"/>
            <rFont val="Tahoma"/>
            <family val="2"/>
          </rPr>
          <t xml:space="preserve"> Indicate memory less than Recommended RAM</t>
        </r>
      </text>
    </comment>
    <comment ref="AW1" authorId="0">
      <text>
        <r>
          <rPr>
            <b/>
            <sz val="9"/>
            <color indexed="81"/>
            <rFont val="Tahoma"/>
            <family val="2"/>
          </rPr>
          <t>Is Clustered:</t>
        </r>
        <r>
          <rPr>
            <sz val="9"/>
            <color indexed="81"/>
            <rFont val="Tahoma"/>
            <family val="2"/>
          </rPr>
          <t xml:space="preserve"> Used to identify physical cluster sets.  Each cluster should have a unique ID to simplify quantifying the number of clusters and scope-of-work.</t>
        </r>
      </text>
    </comment>
    <comment ref="AX1" authorId="0">
      <text>
        <r>
          <rPr>
            <b/>
            <sz val="9"/>
            <color indexed="81"/>
            <rFont val="Tahoma"/>
            <family val="2"/>
          </rPr>
          <t>Cluster Type:</t>
        </r>
        <r>
          <rPr>
            <sz val="9"/>
            <color indexed="81"/>
            <rFont val="Tahoma"/>
            <family val="2"/>
          </rPr>
          <t xml:space="preserve">
If a cluster, must have entry in the 'Is Clustered? (ID#)' column, then select one of the following:
NLB = Network (local) Load Balancer
WLB = Cross-site Load Balancer
VCS = Veritas Cluster
HAC = HACMP
RAC = Oracle ASM/CRS</t>
        </r>
      </text>
    </comment>
    <comment ref="AY1" authorId="0">
      <text>
        <r>
          <rPr>
            <b/>
            <sz val="9"/>
            <color indexed="81"/>
            <rFont val="Tahoma"/>
            <family val="2"/>
          </rPr>
          <t xml:space="preserve">Cluster Type: </t>
        </r>
        <r>
          <rPr>
            <sz val="9"/>
            <color indexed="81"/>
            <rFont val="Tahoma"/>
            <family val="2"/>
          </rPr>
          <t xml:space="preserve">Hot or Standby - If a cluster note please indicate if node should be considered hot or standby.
</t>
        </r>
      </text>
    </comment>
    <comment ref="AZ1" authorId="0">
      <text>
        <r>
          <rPr>
            <b/>
            <sz val="9"/>
            <color indexed="81"/>
            <rFont val="Tahoma"/>
            <family val="2"/>
          </rPr>
          <t xml:space="preserve">Affinity: </t>
        </r>
        <r>
          <rPr>
            <sz val="9"/>
            <color indexed="81"/>
            <rFont val="Tahoma"/>
            <family val="2"/>
          </rPr>
          <t xml:space="preserve">Used to specify affinity rules to ensure that no two nodes in an HA pair are on the same chassis or ESX hosts as an example.
This also applies to LPARs in a logical cluster relationship that must be placed on different frames.
</t>
        </r>
      </text>
    </comment>
    <comment ref="BA1" authorId="0">
      <text>
        <r>
          <rPr>
            <b/>
            <sz val="9"/>
            <color indexed="81"/>
            <rFont val="Tahoma"/>
            <family val="2"/>
          </rPr>
          <t>Frame/Chassis #:</t>
        </r>
        <r>
          <rPr>
            <sz val="9"/>
            <color indexed="81"/>
            <rFont val="Tahoma"/>
            <family val="2"/>
          </rPr>
          <t xml:space="preserve"> Used to indicate which Frame/Chassis the device should be installed.  This is used to prevent paired devices from being in the same frame.
</t>
        </r>
      </text>
    </comment>
    <comment ref="BK1" authorId="0">
      <text>
        <r>
          <rPr>
            <b/>
            <sz val="9"/>
            <color indexed="81"/>
            <rFont val="Tahoma"/>
            <family val="2"/>
          </rPr>
          <t xml:space="preserve">Recommended SAN (GB): </t>
        </r>
        <r>
          <rPr>
            <sz val="9"/>
            <color indexed="81"/>
            <rFont val="Tahoma"/>
            <family val="2"/>
          </rPr>
          <t xml:space="preserve">Assumes 2 LUNs for O/S and additional LUN(s) at 75% of RAM with a minimum of 1 LUN.
</t>
        </r>
      </text>
    </comment>
    <comment ref="BR1" authorId="0">
      <text>
        <r>
          <rPr>
            <b/>
            <sz val="9"/>
            <color indexed="81"/>
            <rFont val="Tahoma"/>
            <family val="2"/>
          </rPr>
          <t xml:space="preserve">Require SRDF?: </t>
        </r>
        <r>
          <rPr>
            <sz val="9"/>
            <color indexed="81"/>
            <rFont val="Tahoma"/>
            <family val="2"/>
          </rPr>
          <t xml:space="preserve">Does this server require SRDF?
</t>
        </r>
      </text>
    </comment>
    <comment ref="BS1" authorId="0">
      <text>
        <r>
          <rPr>
            <b/>
            <sz val="9"/>
            <color indexed="81"/>
            <rFont val="Tahoma"/>
            <family val="2"/>
          </rPr>
          <t xml:space="preserve">CALCULATED --&gt;
Recommended NAS (GB): </t>
        </r>
        <r>
          <rPr>
            <sz val="9"/>
            <color indexed="81"/>
            <rFont val="Tahoma"/>
            <family val="2"/>
          </rPr>
          <t xml:space="preserve">The recommended about of NAS for this server.
</t>
        </r>
        <r>
          <rPr>
            <b/>
            <sz val="9"/>
            <color indexed="81"/>
            <rFont val="Tahoma"/>
            <family val="2"/>
          </rPr>
          <t xml:space="preserve">Note: </t>
        </r>
        <r>
          <rPr>
            <sz val="9"/>
            <color indexed="81"/>
            <rFont val="Tahoma"/>
            <family val="2"/>
          </rPr>
          <t xml:space="preserve">This only shows appears for Vmware servers by default.
</t>
        </r>
      </text>
    </comment>
    <comment ref="BT1" authorId="0">
      <text>
        <r>
          <rPr>
            <b/>
            <sz val="9"/>
            <color indexed="81"/>
            <rFont val="Tahoma"/>
            <family val="2"/>
          </rPr>
          <t xml:space="preserve">Additional NAS (GB): </t>
        </r>
        <r>
          <rPr>
            <sz val="9"/>
            <color indexed="81"/>
            <rFont val="Tahoma"/>
            <family val="2"/>
          </rPr>
          <t xml:space="preserve">The amount of additional NAS required to be added to the recommended NAS (GB) value.
</t>
        </r>
      </text>
    </comment>
    <comment ref="BU1" authorId="0">
      <text>
        <r>
          <rPr>
            <b/>
            <sz val="9"/>
            <color indexed="81"/>
            <rFont val="Tahoma"/>
            <family val="2"/>
          </rPr>
          <t xml:space="preserve">CALCULATED --&gt; NAS (GB) Dedicated: </t>
        </r>
        <r>
          <rPr>
            <sz val="9"/>
            <color indexed="81"/>
            <rFont val="Tahoma"/>
            <family val="2"/>
          </rPr>
          <t xml:space="preserve">The total dedicated NAS share for the server.
</t>
        </r>
      </text>
    </comment>
    <comment ref="BV1" authorId="0">
      <text>
        <r>
          <rPr>
            <b/>
            <sz val="9"/>
            <color indexed="81"/>
            <rFont val="Tahoma"/>
            <family val="2"/>
          </rPr>
          <t>NAS (GB) Shared:</t>
        </r>
        <r>
          <rPr>
            <sz val="9"/>
            <color indexed="81"/>
            <rFont val="Tahoma"/>
            <family val="2"/>
          </rPr>
          <t xml:space="preserve"> The proportional share of total group storage for this server (e.g. Group NAS total is 80GB across 4 servers, the individual server's share would be 20GB each.)
</t>
        </r>
      </text>
    </comment>
    <comment ref="BW1" authorId="0">
      <text>
        <r>
          <rPr>
            <b/>
            <sz val="9"/>
            <color indexed="81"/>
            <rFont val="Tahoma"/>
            <family val="2"/>
          </rPr>
          <t xml:space="preserve">NAS Shared Group: </t>
        </r>
        <r>
          <rPr>
            <sz val="9"/>
            <color indexed="81"/>
            <rFont val="Tahoma"/>
            <family val="2"/>
          </rPr>
          <t xml:space="preserve">The NAS Shared Group Name for which grouped servers will share NAS storage.
</t>
        </r>
      </text>
    </comment>
    <comment ref="BX1" authorId="0">
      <text>
        <r>
          <rPr>
            <b/>
            <sz val="9"/>
            <color indexed="81"/>
            <rFont val="Tahoma"/>
            <family val="2"/>
          </rPr>
          <t xml:space="preserve">NetBackup Full: </t>
        </r>
        <r>
          <rPr>
            <sz val="9"/>
            <color indexed="81"/>
            <rFont val="Tahoma"/>
            <family val="2"/>
          </rPr>
          <t>The projected FULL backup requirements in GB.</t>
        </r>
      </text>
    </comment>
    <comment ref="BY1" authorId="0">
      <text>
        <r>
          <rPr>
            <b/>
            <sz val="9"/>
            <color indexed="81"/>
            <rFont val="Tahoma"/>
            <family val="2"/>
          </rPr>
          <t xml:space="preserve">NetBackup Incr: </t>
        </r>
        <r>
          <rPr>
            <sz val="9"/>
            <color indexed="81"/>
            <rFont val="Tahoma"/>
            <family val="2"/>
          </rPr>
          <t xml:space="preserve">The projected incremental backup requirements in GB.
</t>
        </r>
      </text>
    </comment>
    <comment ref="BZ1" authorId="0">
      <text>
        <r>
          <rPr>
            <b/>
            <sz val="9"/>
            <color indexed="81"/>
            <rFont val="Tahoma"/>
            <family val="2"/>
          </rPr>
          <t xml:space="preserve">HSM Required?: </t>
        </r>
        <r>
          <rPr>
            <sz val="9"/>
            <color indexed="81"/>
            <rFont val="Tahoma"/>
            <family val="2"/>
          </rPr>
          <t xml:space="preserve">If HSM is required, double-click to add checkmark.
</t>
        </r>
        <r>
          <rPr>
            <b/>
            <sz val="9"/>
            <color indexed="81"/>
            <rFont val="Tahoma"/>
            <family val="2"/>
          </rPr>
          <t>Note:</t>
        </r>
        <r>
          <rPr>
            <sz val="9"/>
            <color indexed="81"/>
            <rFont val="Tahoma"/>
            <family val="2"/>
          </rPr>
          <t xml:space="preserve"> Double-clicks will toggle checkmark entry.
</t>
        </r>
      </text>
    </comment>
    <comment ref="CA1" authorId="0">
      <text>
        <r>
          <rPr>
            <b/>
            <sz val="9"/>
            <color indexed="81"/>
            <rFont val="Tahoma"/>
            <family val="2"/>
          </rPr>
          <t xml:space="preserve">DMZ Required?: </t>
        </r>
        <r>
          <rPr>
            <sz val="9"/>
            <color indexed="81"/>
            <rFont val="Tahoma"/>
            <family val="2"/>
          </rPr>
          <t xml:space="preserve">If DMZ is required, double-click to add checkmark.
</t>
        </r>
        <r>
          <rPr>
            <b/>
            <sz val="9"/>
            <color indexed="81"/>
            <rFont val="Tahoma"/>
            <family val="2"/>
          </rPr>
          <t xml:space="preserve">Note: </t>
        </r>
        <r>
          <rPr>
            <sz val="9"/>
            <color indexed="81"/>
            <rFont val="Tahoma"/>
            <family val="2"/>
          </rPr>
          <t xml:space="preserve">Double-clicks will toggle checkmark entry.
</t>
        </r>
      </text>
    </comment>
    <comment ref="CB1" authorId="0">
      <text>
        <r>
          <rPr>
            <b/>
            <sz val="9"/>
            <color indexed="81"/>
            <rFont val="Tahoma"/>
            <family val="2"/>
          </rPr>
          <t>Network Conn I:</t>
        </r>
        <r>
          <rPr>
            <sz val="9"/>
            <color indexed="81"/>
            <rFont val="Tahoma"/>
            <family val="2"/>
          </rPr>
          <t xml:space="preserve"> Select the type of network connection for the first network port.
</t>
        </r>
      </text>
    </comment>
    <comment ref="CC1" authorId="0">
      <text>
        <r>
          <rPr>
            <b/>
            <sz val="9"/>
            <color indexed="81"/>
            <rFont val="Tahoma"/>
            <family val="2"/>
          </rPr>
          <t># of connections I:</t>
        </r>
        <r>
          <rPr>
            <sz val="9"/>
            <color indexed="81"/>
            <rFont val="Tahoma"/>
            <family val="2"/>
          </rPr>
          <t xml:space="preserve"> The number of connections required for the first port.
</t>
        </r>
        <r>
          <rPr>
            <b/>
            <sz val="9"/>
            <color indexed="81"/>
            <rFont val="Tahoma"/>
            <family val="2"/>
          </rPr>
          <t xml:space="preserve">Note: </t>
        </r>
        <r>
          <rPr>
            <sz val="9"/>
            <color indexed="81"/>
            <rFont val="Tahoma"/>
            <family val="2"/>
          </rPr>
          <t xml:space="preserve">this is usually on a different network subnet than Connection II.
</t>
        </r>
      </text>
    </comment>
    <comment ref="CD1" authorId="0">
      <text>
        <r>
          <rPr>
            <b/>
            <sz val="9"/>
            <color indexed="81"/>
            <rFont val="Tahoma"/>
            <family val="2"/>
          </rPr>
          <t xml:space="preserve">Network Conn II: </t>
        </r>
        <r>
          <rPr>
            <sz val="9"/>
            <color indexed="81"/>
            <rFont val="Tahoma"/>
            <family val="2"/>
          </rPr>
          <t xml:space="preserve">Select the type of network connection for the second network port.
</t>
        </r>
      </text>
    </comment>
    <comment ref="CE1" authorId="0">
      <text>
        <r>
          <rPr>
            <b/>
            <sz val="9"/>
            <color indexed="81"/>
            <rFont val="Tahoma"/>
            <family val="2"/>
          </rPr>
          <t># of connections II:</t>
        </r>
        <r>
          <rPr>
            <sz val="9"/>
            <color indexed="81"/>
            <rFont val="Tahoma"/>
            <family val="2"/>
          </rPr>
          <t xml:space="preserve"> The number of connections required for the second port.</t>
        </r>
        <r>
          <rPr>
            <b/>
            <sz val="9"/>
            <color indexed="81"/>
            <rFont val="Tahoma"/>
            <family val="2"/>
          </rPr>
          <t xml:space="preserve">
Note: </t>
        </r>
        <r>
          <rPr>
            <sz val="9"/>
            <color indexed="81"/>
            <rFont val="Tahoma"/>
            <family val="2"/>
          </rPr>
          <t>this is usually on a different network subnet than Connection I.</t>
        </r>
        <r>
          <rPr>
            <b/>
            <sz val="9"/>
            <color indexed="81"/>
            <rFont val="Tahoma"/>
            <family val="2"/>
          </rPr>
          <t xml:space="preserve">
</t>
        </r>
        <r>
          <rPr>
            <sz val="9"/>
            <color indexed="81"/>
            <rFont val="Tahoma"/>
            <family val="2"/>
          </rPr>
          <t xml:space="preserve">
</t>
        </r>
      </text>
    </comment>
    <comment ref="CF1" authorId="0">
      <text>
        <r>
          <rPr>
            <b/>
            <sz val="9"/>
            <color indexed="81"/>
            <rFont val="Tahoma"/>
            <family val="2"/>
          </rPr>
          <t>Primary IP:</t>
        </r>
        <r>
          <rPr>
            <sz val="9"/>
            <color indexed="81"/>
            <rFont val="Tahoma"/>
            <family val="2"/>
          </rPr>
          <t xml:space="preserve"> The server's primary IP address (i.e. xxx.xxx.xxx.xxx)</t>
        </r>
      </text>
    </comment>
    <comment ref="CG1" authorId="0">
      <text>
        <r>
          <rPr>
            <b/>
            <sz val="9"/>
            <color indexed="81"/>
            <rFont val="Tahoma"/>
            <family val="2"/>
          </rPr>
          <t>Secondary IP:</t>
        </r>
        <r>
          <rPr>
            <sz val="9"/>
            <color indexed="81"/>
            <rFont val="Tahoma"/>
            <family val="2"/>
          </rPr>
          <t xml:space="preserve"> The server's secondary IP address (i.e. xxx.xxx.xxx.xxx)</t>
        </r>
      </text>
    </comment>
    <comment ref="CJ1" authorId="0">
      <text>
        <r>
          <rPr>
            <b/>
            <sz val="9"/>
            <color indexed="81"/>
            <rFont val="Tahoma"/>
            <family val="2"/>
          </rPr>
          <t xml:space="preserve">Notes: </t>
        </r>
        <r>
          <rPr>
            <sz val="9"/>
            <color indexed="81"/>
            <rFont val="Tahoma"/>
            <family val="2"/>
          </rPr>
          <t xml:space="preserve">Any additional notes or comments for the server can be placed here.
</t>
        </r>
      </text>
    </comment>
    <comment ref="CL1" authorId="0">
      <text>
        <r>
          <rPr>
            <b/>
            <sz val="9"/>
            <color indexed="81"/>
            <rFont val="Tahoma"/>
            <family val="2"/>
          </rPr>
          <t>Per Core</t>
        </r>
        <r>
          <rPr>
            <sz val="9"/>
            <color indexed="81"/>
            <rFont val="Tahoma"/>
            <family val="2"/>
          </rPr>
          <t xml:space="preserve">
</t>
        </r>
      </text>
    </comment>
    <comment ref="CM1" authorId="0">
      <text>
        <r>
          <rPr>
            <b/>
            <sz val="9"/>
            <color indexed="81"/>
            <rFont val="Tahoma"/>
            <family val="2"/>
          </rPr>
          <t>Per Server</t>
        </r>
        <r>
          <rPr>
            <sz val="9"/>
            <color indexed="81"/>
            <rFont val="Tahoma"/>
            <family val="2"/>
          </rPr>
          <t xml:space="preserve">
</t>
        </r>
      </text>
    </comment>
    <comment ref="CN1" authorId="0">
      <text>
        <r>
          <rPr>
            <b/>
            <sz val="9"/>
            <color indexed="81"/>
            <rFont val="Tahoma"/>
            <family val="2"/>
          </rPr>
          <t>Per Server</t>
        </r>
        <r>
          <rPr>
            <sz val="9"/>
            <color indexed="81"/>
            <rFont val="Tahoma"/>
            <family val="2"/>
          </rPr>
          <t xml:space="preserve">
</t>
        </r>
      </text>
    </comment>
    <comment ref="CO1" authorId="0">
      <text>
        <r>
          <rPr>
            <b/>
            <sz val="9"/>
            <color indexed="81"/>
            <rFont val="Tahoma"/>
            <family val="2"/>
          </rPr>
          <t>Per Core</t>
        </r>
        <r>
          <rPr>
            <sz val="9"/>
            <color indexed="81"/>
            <rFont val="Tahoma"/>
            <family val="2"/>
          </rPr>
          <t xml:space="preserve">
</t>
        </r>
      </text>
    </comment>
    <comment ref="CP1" authorId="0">
      <text>
        <r>
          <rPr>
            <b/>
            <sz val="9"/>
            <color indexed="81"/>
            <rFont val="Tahoma"/>
            <family val="2"/>
          </rPr>
          <t>Per Core</t>
        </r>
        <r>
          <rPr>
            <sz val="9"/>
            <color indexed="81"/>
            <rFont val="Tahoma"/>
            <family val="2"/>
          </rPr>
          <t xml:space="preserve">
</t>
        </r>
      </text>
    </comment>
    <comment ref="CQ1" authorId="0">
      <text>
        <r>
          <rPr>
            <b/>
            <sz val="9"/>
            <color indexed="81"/>
            <rFont val="Tahoma"/>
            <family val="2"/>
          </rPr>
          <t>Per Core</t>
        </r>
        <r>
          <rPr>
            <sz val="9"/>
            <color indexed="81"/>
            <rFont val="Tahoma"/>
            <family val="2"/>
          </rPr>
          <t xml:space="preserve">
</t>
        </r>
      </text>
    </comment>
    <comment ref="CR1" authorId="0">
      <text>
        <r>
          <rPr>
            <b/>
            <sz val="9"/>
            <color indexed="81"/>
            <rFont val="Tahoma"/>
            <family val="2"/>
          </rPr>
          <t>Per Core</t>
        </r>
        <r>
          <rPr>
            <sz val="9"/>
            <color indexed="81"/>
            <rFont val="Tahoma"/>
            <family val="2"/>
          </rPr>
          <t xml:space="preserve">
</t>
        </r>
      </text>
    </comment>
    <comment ref="CS1" authorId="0">
      <text>
        <r>
          <rPr>
            <b/>
            <sz val="9"/>
            <color indexed="81"/>
            <rFont val="Tahoma"/>
            <family val="2"/>
          </rPr>
          <t>Per Core</t>
        </r>
        <r>
          <rPr>
            <sz val="9"/>
            <color indexed="81"/>
            <rFont val="Tahoma"/>
            <family val="2"/>
          </rPr>
          <t xml:space="preserve">
</t>
        </r>
      </text>
    </comment>
    <comment ref="CT1" authorId="0">
      <text>
        <r>
          <rPr>
            <b/>
            <sz val="9"/>
            <color indexed="81"/>
            <rFont val="Tahoma"/>
            <family val="2"/>
          </rPr>
          <t>Per Core</t>
        </r>
        <r>
          <rPr>
            <sz val="9"/>
            <color indexed="81"/>
            <rFont val="Tahoma"/>
            <family val="2"/>
          </rPr>
          <t xml:space="preserve">
</t>
        </r>
      </text>
    </comment>
    <comment ref="CU1" authorId="0">
      <text>
        <r>
          <rPr>
            <b/>
            <sz val="9"/>
            <color indexed="81"/>
            <rFont val="Tahoma"/>
            <family val="2"/>
          </rPr>
          <t>Per Core</t>
        </r>
        <r>
          <rPr>
            <sz val="9"/>
            <color indexed="81"/>
            <rFont val="Tahoma"/>
            <family val="2"/>
          </rPr>
          <t xml:space="preserve">
</t>
        </r>
      </text>
    </comment>
    <comment ref="CV1" authorId="0">
      <text>
        <r>
          <rPr>
            <b/>
            <sz val="9"/>
            <color indexed="81"/>
            <rFont val="Tahoma"/>
            <family val="2"/>
          </rPr>
          <t>Per Core</t>
        </r>
        <r>
          <rPr>
            <sz val="9"/>
            <color indexed="81"/>
            <rFont val="Tahoma"/>
            <family val="2"/>
          </rPr>
          <t xml:space="preserve">
</t>
        </r>
      </text>
    </comment>
    <comment ref="CW1" authorId="0">
      <text>
        <r>
          <rPr>
            <b/>
            <sz val="9"/>
            <color indexed="81"/>
            <rFont val="Tahoma"/>
            <family val="2"/>
          </rPr>
          <t>Per Core</t>
        </r>
        <r>
          <rPr>
            <sz val="9"/>
            <color indexed="81"/>
            <rFont val="Tahoma"/>
            <family val="2"/>
          </rPr>
          <t xml:space="preserve">
</t>
        </r>
      </text>
    </comment>
    <comment ref="CX1" authorId="0">
      <text>
        <r>
          <rPr>
            <b/>
            <sz val="9"/>
            <color indexed="81"/>
            <rFont val="Tahoma"/>
            <family val="2"/>
          </rPr>
          <t>Per Core</t>
        </r>
        <r>
          <rPr>
            <sz val="9"/>
            <color indexed="81"/>
            <rFont val="Tahoma"/>
            <family val="2"/>
          </rPr>
          <t xml:space="preserve">
</t>
        </r>
      </text>
    </comment>
    <comment ref="CY1" authorId="0">
      <text>
        <r>
          <rPr>
            <b/>
            <sz val="9"/>
            <color indexed="81"/>
            <rFont val="Tahoma"/>
            <family val="2"/>
          </rPr>
          <t>Per Core</t>
        </r>
        <r>
          <rPr>
            <sz val="9"/>
            <color indexed="81"/>
            <rFont val="Tahoma"/>
            <family val="2"/>
          </rPr>
          <t xml:space="preserve">
</t>
        </r>
      </text>
    </comment>
    <comment ref="CZ1" authorId="0">
      <text>
        <r>
          <rPr>
            <b/>
            <sz val="9"/>
            <color indexed="81"/>
            <rFont val="Tahoma"/>
            <family val="2"/>
          </rPr>
          <t>Per Core</t>
        </r>
        <r>
          <rPr>
            <sz val="9"/>
            <color indexed="81"/>
            <rFont val="Tahoma"/>
            <family val="2"/>
          </rPr>
          <t xml:space="preserve">
</t>
        </r>
      </text>
    </comment>
    <comment ref="DA1" authorId="0">
      <text>
        <r>
          <rPr>
            <b/>
            <sz val="9"/>
            <color indexed="81"/>
            <rFont val="Tahoma"/>
            <family val="2"/>
          </rPr>
          <t>Per Core</t>
        </r>
        <r>
          <rPr>
            <sz val="9"/>
            <color indexed="81"/>
            <rFont val="Tahoma"/>
            <family val="2"/>
          </rPr>
          <t xml:space="preserve">
</t>
        </r>
      </text>
    </comment>
    <comment ref="DB1" authorId="0">
      <text>
        <r>
          <rPr>
            <b/>
            <sz val="9"/>
            <color indexed="81"/>
            <rFont val="Tahoma"/>
            <family val="2"/>
          </rPr>
          <t>Per Core</t>
        </r>
        <r>
          <rPr>
            <sz val="9"/>
            <color indexed="81"/>
            <rFont val="Tahoma"/>
            <family val="2"/>
          </rPr>
          <t xml:space="preserve">
</t>
        </r>
      </text>
    </comment>
    <comment ref="DC1" authorId="0">
      <text>
        <r>
          <rPr>
            <b/>
            <sz val="9"/>
            <color indexed="81"/>
            <rFont val="Tahoma"/>
            <family val="2"/>
          </rPr>
          <t>Per Core</t>
        </r>
        <r>
          <rPr>
            <sz val="9"/>
            <color indexed="81"/>
            <rFont val="Tahoma"/>
            <family val="2"/>
          </rPr>
          <t xml:space="preserve">
</t>
        </r>
      </text>
    </comment>
    <comment ref="DF1" authorId="0">
      <text>
        <r>
          <rPr>
            <b/>
            <sz val="9"/>
            <color indexed="81"/>
            <rFont val="Tahoma"/>
            <family val="2"/>
          </rPr>
          <t>Per CPU</t>
        </r>
        <r>
          <rPr>
            <sz val="9"/>
            <color indexed="81"/>
            <rFont val="Tahoma"/>
            <family val="2"/>
          </rPr>
          <t xml:space="preserve">
</t>
        </r>
      </text>
    </comment>
    <comment ref="DG1" authorId="0">
      <text>
        <r>
          <rPr>
            <b/>
            <sz val="9"/>
            <color indexed="81"/>
            <rFont val="Tahoma"/>
            <family val="2"/>
          </rPr>
          <t>Per CPU</t>
        </r>
        <r>
          <rPr>
            <sz val="9"/>
            <color indexed="81"/>
            <rFont val="Tahoma"/>
            <family val="2"/>
          </rPr>
          <t xml:space="preserve">
</t>
        </r>
      </text>
    </comment>
    <comment ref="DH1" authorId="0">
      <text>
        <r>
          <rPr>
            <b/>
            <sz val="9"/>
            <color indexed="81"/>
            <rFont val="Tahoma"/>
            <family val="2"/>
          </rPr>
          <t>Per Server</t>
        </r>
        <r>
          <rPr>
            <sz val="9"/>
            <color indexed="81"/>
            <rFont val="Tahoma"/>
            <family val="2"/>
          </rPr>
          <t xml:space="preserve">
</t>
        </r>
      </text>
    </comment>
    <comment ref="DI1" authorId="0">
      <text>
        <r>
          <rPr>
            <b/>
            <sz val="9"/>
            <color indexed="81"/>
            <rFont val="Tahoma"/>
            <family val="2"/>
          </rPr>
          <t>Per CPU</t>
        </r>
        <r>
          <rPr>
            <sz val="9"/>
            <color indexed="81"/>
            <rFont val="Tahoma"/>
            <family val="2"/>
          </rPr>
          <t xml:space="preserve">
</t>
        </r>
      </text>
    </comment>
    <comment ref="DJ1" authorId="0">
      <text>
        <r>
          <rPr>
            <b/>
            <sz val="9"/>
            <color indexed="81"/>
            <rFont val="Tahoma"/>
            <family val="2"/>
          </rPr>
          <t>Per Server</t>
        </r>
        <r>
          <rPr>
            <sz val="9"/>
            <color indexed="81"/>
            <rFont val="Tahoma"/>
            <family val="2"/>
          </rPr>
          <t xml:space="preserve">
</t>
        </r>
      </text>
    </comment>
    <comment ref="EB1" authorId="0">
      <text>
        <r>
          <rPr>
            <b/>
            <sz val="9"/>
            <color indexed="81"/>
            <rFont val="Tahoma"/>
            <family val="2"/>
          </rPr>
          <t>Per Core</t>
        </r>
        <r>
          <rPr>
            <sz val="9"/>
            <color indexed="81"/>
            <rFont val="Tahoma"/>
            <family val="2"/>
          </rPr>
          <t xml:space="preserve">
</t>
        </r>
      </text>
    </comment>
    <comment ref="EC1" authorId="0">
      <text>
        <r>
          <rPr>
            <b/>
            <sz val="9"/>
            <color indexed="81"/>
            <rFont val="Tahoma"/>
            <family val="2"/>
          </rPr>
          <t>Per CPU</t>
        </r>
        <r>
          <rPr>
            <sz val="9"/>
            <color indexed="81"/>
            <rFont val="Tahoma"/>
            <family val="2"/>
          </rPr>
          <t xml:space="preserve">
</t>
        </r>
      </text>
    </comment>
    <comment ref="ED1" authorId="0">
      <text>
        <r>
          <rPr>
            <b/>
            <sz val="9"/>
            <color indexed="81"/>
            <rFont val="Tahoma"/>
            <family val="2"/>
          </rPr>
          <t>Per Server</t>
        </r>
        <r>
          <rPr>
            <sz val="9"/>
            <color indexed="81"/>
            <rFont val="Tahoma"/>
            <family val="2"/>
          </rPr>
          <t xml:space="preserve">
</t>
        </r>
      </text>
    </comment>
    <comment ref="EE1" authorId="0">
      <text>
        <r>
          <rPr>
            <b/>
            <sz val="9"/>
            <color indexed="81"/>
            <rFont val="Tahoma"/>
            <family val="2"/>
          </rPr>
          <t>Per Core</t>
        </r>
        <r>
          <rPr>
            <sz val="9"/>
            <color indexed="81"/>
            <rFont val="Tahoma"/>
            <family val="2"/>
          </rPr>
          <t xml:space="preserve">
</t>
        </r>
      </text>
    </comment>
    <comment ref="EF1" authorId="0">
      <text>
        <r>
          <rPr>
            <b/>
            <sz val="9"/>
            <color indexed="81"/>
            <rFont val="Tahoma"/>
            <family val="2"/>
          </rPr>
          <t>Per Core</t>
        </r>
        <r>
          <rPr>
            <sz val="9"/>
            <color indexed="81"/>
            <rFont val="Tahoma"/>
            <family val="2"/>
          </rPr>
          <t xml:space="preserve">
</t>
        </r>
      </text>
    </comment>
    <comment ref="EG1" authorId="0">
      <text>
        <r>
          <rPr>
            <b/>
            <sz val="9"/>
            <color indexed="81"/>
            <rFont val="Tahoma"/>
            <family val="2"/>
          </rPr>
          <t>Per Core</t>
        </r>
        <r>
          <rPr>
            <sz val="9"/>
            <color indexed="81"/>
            <rFont val="Tahoma"/>
            <family val="2"/>
          </rPr>
          <t xml:space="preserve">
</t>
        </r>
      </text>
    </comment>
    <comment ref="EH1" authorId="0">
      <text>
        <r>
          <rPr>
            <b/>
            <sz val="9"/>
            <color indexed="81"/>
            <rFont val="Tahoma"/>
            <family val="2"/>
          </rPr>
          <t>Per Core</t>
        </r>
        <r>
          <rPr>
            <sz val="9"/>
            <color indexed="81"/>
            <rFont val="Tahoma"/>
            <family val="2"/>
          </rPr>
          <t xml:space="preserve">
</t>
        </r>
      </text>
    </comment>
    <comment ref="EI1" authorId="0">
      <text>
        <r>
          <rPr>
            <b/>
            <sz val="9"/>
            <color indexed="81"/>
            <rFont val="Tahoma"/>
            <family val="2"/>
          </rPr>
          <t>Per Core</t>
        </r>
        <r>
          <rPr>
            <sz val="9"/>
            <color indexed="81"/>
            <rFont val="Tahoma"/>
            <family val="2"/>
          </rPr>
          <t xml:space="preserve">
</t>
        </r>
      </text>
    </comment>
    <comment ref="EJ1" authorId="0">
      <text>
        <r>
          <rPr>
            <b/>
            <sz val="9"/>
            <color indexed="81"/>
            <rFont val="Tahoma"/>
            <family val="2"/>
          </rPr>
          <t>Per Core</t>
        </r>
        <r>
          <rPr>
            <sz val="9"/>
            <color indexed="81"/>
            <rFont val="Tahoma"/>
            <family val="2"/>
          </rPr>
          <t xml:space="preserve">
</t>
        </r>
      </text>
    </comment>
    <comment ref="EK1" authorId="0">
      <text>
        <r>
          <rPr>
            <b/>
            <sz val="9"/>
            <color indexed="81"/>
            <rFont val="Tahoma"/>
            <family val="2"/>
          </rPr>
          <t>Per CPU</t>
        </r>
        <r>
          <rPr>
            <sz val="9"/>
            <color indexed="81"/>
            <rFont val="Tahoma"/>
            <family val="2"/>
          </rPr>
          <t xml:space="preserve">
</t>
        </r>
      </text>
    </comment>
    <comment ref="EM1" authorId="1">
      <text>
        <r>
          <rPr>
            <b/>
            <sz val="8"/>
            <color indexed="81"/>
            <rFont val="Tahoma"/>
            <family val="2"/>
          </rPr>
          <t>sl55853:</t>
        </r>
        <r>
          <rPr>
            <sz val="8"/>
            <color indexed="81"/>
            <rFont val="Tahoma"/>
            <family val="2"/>
          </rPr>
          <t xml:space="preserve">
Initial SW costs includes purchase and maintenance if not included in initial purchase (e.g. ab initio).</t>
        </r>
      </text>
    </comment>
    <comment ref="ET1" authorId="1">
      <text>
        <r>
          <rPr>
            <b/>
            <sz val="8"/>
            <color indexed="81"/>
            <rFont val="Tahoma"/>
            <family val="2"/>
          </rPr>
          <t>sl55853:</t>
        </r>
        <r>
          <rPr>
            <sz val="8"/>
            <color indexed="81"/>
            <rFont val="Tahoma"/>
            <family val="2"/>
          </rPr>
          <t xml:space="preserve">
Based on current rates, rates may change.</t>
        </r>
      </text>
    </comment>
    <comment ref="FC1" authorId="0">
      <text>
        <r>
          <rPr>
            <b/>
            <sz val="9"/>
            <color indexed="81"/>
            <rFont val="Tahoma"/>
            <family val="2"/>
          </rPr>
          <t xml:space="preserve">Server Cost Breakdown: </t>
        </r>
        <r>
          <rPr>
            <sz val="9"/>
            <color indexed="81"/>
            <rFont val="Tahoma"/>
            <family val="2"/>
          </rPr>
          <t xml:space="preserve">The calculated cost for the physical server/device.
</t>
        </r>
      </text>
    </comment>
    <comment ref="FG1" authorId="0">
      <text>
        <r>
          <rPr>
            <b/>
            <sz val="9"/>
            <color indexed="81"/>
            <rFont val="Tahoma"/>
            <family val="2"/>
          </rPr>
          <t xml:space="preserve">Memory Cost: </t>
        </r>
        <r>
          <rPr>
            <sz val="9"/>
            <color indexed="81"/>
            <rFont val="Tahoma"/>
            <family val="2"/>
          </rPr>
          <t xml:space="preserve">The calculated cost for Memory
</t>
        </r>
      </text>
    </comment>
    <comment ref="FH1" authorId="0">
      <text>
        <r>
          <rPr>
            <b/>
            <sz val="9"/>
            <color indexed="81"/>
            <rFont val="Tahoma"/>
            <family val="2"/>
          </rPr>
          <t xml:space="preserve">Support Cost: </t>
        </r>
        <r>
          <rPr>
            <sz val="9"/>
            <color indexed="81"/>
            <rFont val="Tahoma"/>
            <family val="2"/>
          </rPr>
          <t xml:space="preserve">The calculated Support Cost for new servers only.
</t>
        </r>
        <r>
          <rPr>
            <b/>
            <sz val="9"/>
            <color indexed="81"/>
            <rFont val="Tahoma"/>
            <family val="2"/>
          </rPr>
          <t>Note:</t>
        </r>
        <r>
          <rPr>
            <sz val="9"/>
            <color indexed="81"/>
            <rFont val="Tahoma"/>
            <family val="2"/>
          </rPr>
          <t xml:space="preserve"> Assumes Support Costs are already covered for existing servers.
</t>
        </r>
      </text>
    </comment>
    <comment ref="FI1" authorId="0">
      <text>
        <r>
          <rPr>
            <b/>
            <sz val="9"/>
            <color indexed="81"/>
            <rFont val="Tahoma"/>
            <family val="2"/>
          </rPr>
          <t xml:space="preserve">Network Cost: </t>
        </r>
        <r>
          <rPr>
            <sz val="9"/>
            <color indexed="81"/>
            <rFont val="Tahoma"/>
            <family val="2"/>
          </rPr>
          <t xml:space="preserve">The calculated Network Cost
</t>
        </r>
      </text>
    </comment>
    <comment ref="AI169" authorId="1">
      <text>
        <r>
          <rPr>
            <sz val="8"/>
            <color indexed="81"/>
            <rFont val="Tahoma"/>
            <family val="2"/>
          </rPr>
          <t>Unique 'Alias'  server count</t>
        </r>
      </text>
    </comment>
  </commentList>
</comments>
</file>

<file path=xl/sharedStrings.xml><?xml version="1.0" encoding="utf-8"?>
<sst xmlns="http://schemas.openxmlformats.org/spreadsheetml/2006/main" count="2454" uniqueCount="426">
  <si>
    <t>PROD</t>
  </si>
  <si>
    <t>UAT</t>
  </si>
  <si>
    <t>SIT/DIT</t>
  </si>
  <si>
    <t>RDC</t>
  </si>
  <si>
    <t>FDC</t>
  </si>
  <si>
    <t>Env</t>
  </si>
  <si>
    <t>Type</t>
  </si>
  <si>
    <t>Web Server</t>
  </si>
  <si>
    <t>BLADE 1</t>
  </si>
  <si>
    <t>IBM HTTP Server, WAS Plugin</t>
  </si>
  <si>
    <t>BLADE 2</t>
  </si>
  <si>
    <t>PL App Server</t>
  </si>
  <si>
    <t>BLADE 3</t>
  </si>
  <si>
    <t>Websphere 8.5, IHS, Safenet, Oracle Client</t>
  </si>
  <si>
    <t>BLADE 4</t>
  </si>
  <si>
    <t>BLADE 5</t>
  </si>
  <si>
    <t>BLADE 6</t>
  </si>
  <si>
    <t>CM App Server</t>
  </si>
  <si>
    <t>BLADE 7</t>
  </si>
  <si>
    <t>BLADE 8</t>
  </si>
  <si>
    <t>BLADE 9</t>
  </si>
  <si>
    <t>BLADE 10</t>
  </si>
  <si>
    <t>BLADE 11</t>
  </si>
  <si>
    <t>BLADE 12</t>
  </si>
  <si>
    <t>DB Server Cluster1</t>
  </si>
  <si>
    <t>BLADE 13</t>
  </si>
  <si>
    <t>Oracle 11G, AWR</t>
  </si>
  <si>
    <t>BLADE 14</t>
  </si>
  <si>
    <t>Data Guard Cluster1</t>
  </si>
  <si>
    <t>BLADE 15</t>
  </si>
  <si>
    <t>BLADE 16</t>
  </si>
  <si>
    <t>DB Server Cluster2</t>
  </si>
  <si>
    <t>BLADE 17</t>
  </si>
  <si>
    <t>BLADE 18</t>
  </si>
  <si>
    <t>Data Guard Cluster2</t>
  </si>
  <si>
    <t>BLADE 19</t>
  </si>
  <si>
    <t>BLADE 20</t>
  </si>
  <si>
    <t>CitiAlert Server</t>
  </si>
  <si>
    <t>New LPAR 1</t>
  </si>
  <si>
    <t>java, MQ7, NDM</t>
  </si>
  <si>
    <t>New LPAR 2</t>
  </si>
  <si>
    <t>ESTMT</t>
  </si>
  <si>
    <t>fdcgcgestaa01p</t>
  </si>
  <si>
    <t>Websphere7, NDM, ODWEK, MQ, IHS</t>
  </si>
  <si>
    <t>fdcgcgestaa02p</t>
  </si>
  <si>
    <t>GR1 App Server</t>
  </si>
  <si>
    <t>GR2 App Server</t>
  </si>
  <si>
    <t>GR3 App Server</t>
  </si>
  <si>
    <t>rdcgcgestaa01u</t>
  </si>
  <si>
    <t>DIT</t>
  </si>
  <si>
    <t>SIT</t>
  </si>
  <si>
    <t>DB Server</t>
  </si>
  <si>
    <t>COB</t>
  </si>
  <si>
    <t>PCR-AVATAR</t>
  </si>
  <si>
    <t>PAT/PROD</t>
  </si>
  <si>
    <t>MQ</t>
  </si>
  <si>
    <t>IBM WMQ x86, CA APM</t>
  </si>
  <si>
    <t>AP</t>
  </si>
  <si>
    <t>ESB</t>
  </si>
  <si>
    <t>Yes - Outside this BoM</t>
  </si>
  <si>
    <t>a</t>
  </si>
  <si>
    <t>FDCGCGMQMLA19P</t>
  </si>
  <si>
    <t>BL620C G7</t>
  </si>
  <si>
    <t>RHEL 5.9</t>
  </si>
  <si>
    <t>Yes</t>
  </si>
  <si>
    <t xml:space="preserve">To be reused - if no techstack change </t>
  </si>
  <si>
    <t>FDCGCGMQMLA20P</t>
  </si>
  <si>
    <t>FDCGCGMQMLA65P</t>
  </si>
  <si>
    <t>FDCGCGMQMLA75P</t>
  </si>
  <si>
    <t>ESB [V5,V6], CMR, SNF - EMS</t>
  </si>
  <si>
    <t>Veritas Cluster/CFS, TIBCO EMS, CA APM</t>
  </si>
  <si>
    <t>FDCGCGTIBLA61P</t>
  </si>
  <si>
    <t>FDCGCGTIBLA71P</t>
  </si>
  <si>
    <t>FDCGCGTIBLA81P</t>
  </si>
  <si>
    <t>FDCGCGTIBLA91P</t>
  </si>
  <si>
    <t>ESB-Digital - EMS</t>
  </si>
  <si>
    <t>No</t>
  </si>
  <si>
    <t>FDC-DIG-ESB-EMS-SVR1</t>
  </si>
  <si>
    <t xml:space="preserve">Existing Server to be reused - if no techstack change </t>
  </si>
  <si>
    <t>FDC-DIG-ESB-EMS-SVR2</t>
  </si>
  <si>
    <t>FDC-DIG-ESB-EMS-SVR3</t>
  </si>
  <si>
    <t>FDC-DIG-ESB-EMS-SVR4</t>
  </si>
  <si>
    <t>ESB-Digital -BW</t>
  </si>
  <si>
    <t>TIBCO BW, CA APM</t>
  </si>
  <si>
    <t>FDC-DIG-ESB-BW-SVR1</t>
  </si>
  <si>
    <t>Existing BAU server to be released after cutover -Hump</t>
  </si>
  <si>
    <t>FDC-DIG-ESB-BW-SVR2</t>
  </si>
  <si>
    <t>FDC-DIG-ESB-BW-SVR3</t>
  </si>
  <si>
    <t>FDC-DIG-ESB-BW-SVR4</t>
  </si>
  <si>
    <t>FDC-DIG-ESB-BW-SVR5</t>
  </si>
  <si>
    <t>FDC-DIG-ESB-BW-SVR6</t>
  </si>
  <si>
    <t>FDC-DIG-ESB-BW-SVR7</t>
  </si>
  <si>
    <t>FDC-DIG-ESB-BW-SVR8</t>
  </si>
  <si>
    <t>FDC-DIG-ESB-BW-SVR9</t>
  </si>
  <si>
    <t>FDC-DIG-ESB-BW-SVR10</t>
  </si>
  <si>
    <t>FDC-DIG-ESB-BW-SVR11</t>
  </si>
  <si>
    <t>FDC-DIG-ESB-BW-SVR12</t>
  </si>
  <si>
    <t>Oracle RAC - ESB</t>
  </si>
  <si>
    <t>Oracle RAC pSeries</t>
  </si>
  <si>
    <t>DB</t>
  </si>
  <si>
    <t>fdcgcgracad14p</t>
  </si>
  <si>
    <t>IBM p7 p795</t>
  </si>
  <si>
    <t>AIX 6.1</t>
  </si>
  <si>
    <t>Oracle RAC - ESB,</t>
  </si>
  <si>
    <t>fdcgcgracad15p</t>
  </si>
  <si>
    <t>Dataguard- Oracle RAC-ESB</t>
  </si>
  <si>
    <t>fdcgcgdtgad14p</t>
  </si>
  <si>
    <t>Oracle HACMP  - Tibco, RMAN</t>
  </si>
  <si>
    <t>Oracle Standalone</t>
  </si>
  <si>
    <t>fdcgcgticad01p</t>
  </si>
  <si>
    <t>Oracle HACMP - Tibco, RMAN</t>
  </si>
  <si>
    <t>fdcgcgticad02p</t>
  </si>
  <si>
    <t>PAT</t>
  </si>
  <si>
    <t>fdcgcgracad31p</t>
  </si>
  <si>
    <t>fdcgcgracad32p</t>
  </si>
  <si>
    <t>ESB-PAT-BW</t>
  </si>
  <si>
    <t>FDCGCGTIBLA25P</t>
  </si>
  <si>
    <t>FDCGCGTIBLA26P</t>
  </si>
  <si>
    <t>FDCGCGTIBLA27P</t>
  </si>
  <si>
    <t>FDCGCGTIBLA28P</t>
  </si>
  <si>
    <t>FDCGCGTIBLA35P</t>
  </si>
  <si>
    <t>FDCGCGTIBLA36P</t>
  </si>
  <si>
    <t>FDCGCGMQMLA19C</t>
  </si>
  <si>
    <t>FDCGCGMQMLA20C</t>
  </si>
  <si>
    <t>FDCGCGMQMLA65C</t>
  </si>
  <si>
    <t>FDCGCGMQMLA75C</t>
  </si>
  <si>
    <t>FDCGCGTIBLA61C</t>
  </si>
  <si>
    <t>FDCGCGTIBLA71C</t>
  </si>
  <si>
    <t>FDCGCGTIBLA81C</t>
  </si>
  <si>
    <t>FDCGCGTIBLA91C</t>
  </si>
  <si>
    <t>RDC-COB-DIG-ESB-EMS-SVR1</t>
  </si>
  <si>
    <t>RDC-COB-DIG-ESB-EMS-SVR2</t>
  </si>
  <si>
    <t>RDC-COB-DIG-ESB-EMS-SVR3</t>
  </si>
  <si>
    <t>RDC-COB-DIG-ESB-EMS-SVR4</t>
  </si>
  <si>
    <t>RDC-COB-DIG-ESB-BW-SVR1</t>
  </si>
  <si>
    <t>RDC-COB-DIG-ESB-BW-SVR2</t>
  </si>
  <si>
    <t>RDC-COB-DIG-ESB-BW-SVR3</t>
  </si>
  <si>
    <t>RDC-COB-DIG-ESB-BW-SVR4</t>
  </si>
  <si>
    <t>RDC-COB-DIG-ESB-BW-SVR5</t>
  </si>
  <si>
    <t>RDC-COB-DIG-ESB-BW-SVR6</t>
  </si>
  <si>
    <t>RDC-COB-DIG-ESB-BW-SVR7</t>
  </si>
  <si>
    <t>RDC-COB-DIG-ESB-BW-SVR8</t>
  </si>
  <si>
    <t>RDC-COB-DIG-ESB-BW-SVR9</t>
  </si>
  <si>
    <t>RDC-COB-DIG-ESB-BW-SVR10</t>
  </si>
  <si>
    <t>RDC-COB-DIG-ESB-BW-SVR11</t>
  </si>
  <si>
    <t>RDC-COB-DIG-ESB-BW-SVR12</t>
  </si>
  <si>
    <t>rdcgcgracad14c</t>
  </si>
  <si>
    <t>rdcgcgracad15c</t>
  </si>
  <si>
    <t>rdcgcgdtgad14c</t>
  </si>
  <si>
    <t>rdcgcgticad01c</t>
  </si>
  <si>
    <t>rdcgcgticad02c</t>
  </si>
  <si>
    <t>RDCGCGMQMLA19U</t>
  </si>
  <si>
    <t>RDCGCGMQMLA20U</t>
  </si>
  <si>
    <t>RDCGCGMQMLA65U</t>
  </si>
  <si>
    <t>RDCGCGMQMLA75U</t>
  </si>
  <si>
    <t>RDCGCGTIBLA61U</t>
  </si>
  <si>
    <t>RDCGCGTIBLA71U</t>
  </si>
  <si>
    <t>RDCGCGTIBLA81U</t>
  </si>
  <si>
    <t>RDCGCGTIBLA91U</t>
  </si>
  <si>
    <t>RDC-UAT-DIG-ESB-EMS-SVR1</t>
  </si>
  <si>
    <t>RDC-UAT-DIG-ESB-EMS-SVR2</t>
  </si>
  <si>
    <t>RDC-UAT-DIG-ESB-EMS-SVR3</t>
  </si>
  <si>
    <t>RDC-UAT-DIG-ESB-EMS-SVR4</t>
  </si>
  <si>
    <t>RDC-UAT-DIG-ESB-BW-SVR1</t>
  </si>
  <si>
    <t>RDC-UAT-DIG-ESB-BW-SVR2</t>
  </si>
  <si>
    <t>RDC-UAT-DIG-ESB-BW-SVR3</t>
  </si>
  <si>
    <t>RDC-UAT-DIG-ESB-BW-SVR4</t>
  </si>
  <si>
    <t>RDC-UAT-DIG-ESB-BW-SVR5</t>
  </si>
  <si>
    <t>RDC-UAT-DIG-ESB-BW-SVR6</t>
  </si>
  <si>
    <t>RDC-UAT-DIG-ESB-BW-SVR7</t>
  </si>
  <si>
    <t>RDC-UAT-DIG-ESB-BW-SVR8</t>
  </si>
  <si>
    <t>Yes - Inside this BoM</t>
  </si>
  <si>
    <t>RDC-UAT-DIG-ESB-BW-SVR9</t>
  </si>
  <si>
    <t>RDC-UAT-DIG-ESB-BW-SVR10</t>
  </si>
  <si>
    <t>RDC-UAT-DIG-ESB-BW-SVR11</t>
  </si>
  <si>
    <t>RDC-UAT-DIG-ESB-BW-SVR12</t>
  </si>
  <si>
    <t>rdcgcgracad14u</t>
  </si>
  <si>
    <t>rdcgcgracad15u</t>
  </si>
  <si>
    <t>rdcgcgdtgad14u</t>
  </si>
  <si>
    <t>rdcgcgticad01u</t>
  </si>
  <si>
    <t>rdcgcgticad02u</t>
  </si>
  <si>
    <t>HKDC</t>
  </si>
  <si>
    <t>saixr293</t>
  </si>
  <si>
    <t>TIBCO EMS, CA APM</t>
  </si>
  <si>
    <t>hlixtr289</t>
  </si>
  <si>
    <t>hlixtr492</t>
  </si>
  <si>
    <t>IBM HTTP x86</t>
  </si>
  <si>
    <t>WW</t>
  </si>
  <si>
    <t>CBOL</t>
  </si>
  <si>
    <t>PROD2</t>
  </si>
  <si>
    <t>IBM WAS x86, CA APM, IBM HTTP x86</t>
  </si>
  <si>
    <t>Oracle RAC x86</t>
  </si>
  <si>
    <t>UAT2</t>
  </si>
  <si>
    <t>UAT-BLADE 1</t>
  </si>
  <si>
    <t>UAT-BLADE 2</t>
  </si>
  <si>
    <t>UAT-BLADE 3</t>
  </si>
  <si>
    <t>UAT-BLADE 4</t>
  </si>
  <si>
    <t>UAT-BLADE 5</t>
  </si>
  <si>
    <t>UAT-BLADE 6</t>
  </si>
  <si>
    <t>UAT-BLADE 7</t>
  </si>
  <si>
    <t>UAT-BLADE 8</t>
  </si>
  <si>
    <t>UAT-BLADE 9</t>
  </si>
  <si>
    <t>UAT-BLADE 10</t>
  </si>
  <si>
    <t>UAT-BLADE 11</t>
  </si>
  <si>
    <t>UAT-BLADE 12</t>
  </si>
  <si>
    <t>UAT-BLADE 13</t>
  </si>
  <si>
    <t>UAT-BLADE 14</t>
  </si>
  <si>
    <t>UAT-BLADE 15</t>
  </si>
  <si>
    <t>UAT-BLADE 16</t>
  </si>
  <si>
    <t>UAT-New LPAR 1</t>
  </si>
  <si>
    <t>UAT-New LPAR 2</t>
  </si>
  <si>
    <t>SIT-BLADE 1</t>
  </si>
  <si>
    <t>SIT-BLADE 2</t>
  </si>
  <si>
    <t>SIT-BLADE 3</t>
  </si>
  <si>
    <t>SIT-BLADE 4</t>
  </si>
  <si>
    <t>SIT-BLADE 5</t>
  </si>
  <si>
    <t>SIT-BLADE 6</t>
  </si>
  <si>
    <t>SIT-New LPAR 1</t>
  </si>
  <si>
    <t>PCR</t>
  </si>
  <si>
    <t>Priority</t>
  </si>
  <si>
    <t>Status</t>
  </si>
  <si>
    <t>CTI Build Status Commentary</t>
  </si>
  <si>
    <t>CTI Cloud / Frame Built / Incremental Added</t>
  </si>
  <si>
    <t>CTI SA Build Completed</t>
  </si>
  <si>
    <t>CTI Target Completion</t>
  </si>
  <si>
    <t>CTO Server / DBA Build Spec Completed</t>
  </si>
  <si>
    <t>CTO Build Spec Link</t>
  </si>
  <si>
    <t>CTI DBA Build Completed</t>
  </si>
  <si>
    <t>CTI Handover</t>
  </si>
  <si>
    <t>CTO Acceptance</t>
  </si>
  <si>
    <t>CTI Complete (Y/N)</t>
  </si>
  <si>
    <t>DC</t>
  </si>
  <si>
    <t>Region</t>
  </si>
  <si>
    <t>Country</t>
  </si>
  <si>
    <t>Env Label</t>
  </si>
  <si>
    <t>Server TCRS</t>
  </si>
  <si>
    <t>Aperture</t>
  </si>
  <si>
    <t>Product Owner</t>
  </si>
  <si>
    <t>Description</t>
  </si>
  <si>
    <t>Software List</t>
  </si>
  <si>
    <t>Product 
(Acronym)</t>
  </si>
  <si>
    <t>Usage</t>
  </si>
  <si>
    <t>CSI App ID</t>
  </si>
  <si>
    <t>Existing Server?</t>
  </si>
  <si>
    <t>Existing CPUs</t>
  </si>
  <si>
    <t>Existing Cores</t>
  </si>
  <si>
    <t>Existing RAM (GB)</t>
  </si>
  <si>
    <t>Use existing server config towards SW Licensing?</t>
  </si>
  <si>
    <t>Original Alias</t>
  </si>
  <si>
    <t>Decommission</t>
  </si>
  <si>
    <t>Alias</t>
  </si>
  <si>
    <t>Uniqueness Factor</t>
  </si>
  <si>
    <t>Hostname</t>
  </si>
  <si>
    <t>Domain</t>
  </si>
  <si>
    <t>Server Model</t>
  </si>
  <si>
    <t>Server Tier</t>
  </si>
  <si>
    <t>Server Type</t>
  </si>
  <si>
    <t>Virtual Platform Storage Type</t>
  </si>
  <si>
    <t>O/S</t>
  </si>
  <si>
    <t>CPU</t>
  </si>
  <si>
    <t>CPU Speed</t>
  </si>
  <si>
    <t>Cores 
(Licensed Units)</t>
  </si>
  <si>
    <t>Recommended RAM (GB)</t>
  </si>
  <si>
    <t>RAM 
(GB)</t>
  </si>
  <si>
    <t>Is Clustered? (ID #)</t>
  </si>
  <si>
    <t>Cluster Type</t>
  </si>
  <si>
    <t>Cluster Mode</t>
  </si>
  <si>
    <t>Affinity</t>
  </si>
  <si>
    <t>Frame/Chassis #</t>
  </si>
  <si>
    <t>Slot #</t>
  </si>
  <si>
    <t>Frame S/N</t>
  </si>
  <si>
    <t>Min Virtual Processors</t>
  </si>
  <si>
    <t>Desired Virtual Processors</t>
  </si>
  <si>
    <t>Max Virtual Processors</t>
  </si>
  <si>
    <t>Min Processing Units</t>
  </si>
  <si>
    <t>Desired Processing Units</t>
  </si>
  <si>
    <t>Max Processing Units</t>
  </si>
  <si>
    <t>Weight
(0-256)</t>
  </si>
  <si>
    <t>Recommended SAN (GB)</t>
  </si>
  <si>
    <t>Additional SAN (GB)</t>
  </si>
  <si>
    <t>SAN (GB)
NEEDED TODAY</t>
  </si>
  <si>
    <t>SAN (GB)
RESERVED
DO NOT USE TO BUILD</t>
  </si>
  <si>
    <t>SAN (GB)
End-State
DO NOT USE TO BUILD</t>
  </si>
  <si>
    <t>SAN (GB) Shared</t>
  </si>
  <si>
    <t>Shared SAN Group Name</t>
  </si>
  <si>
    <t>Require SRDF?</t>
  </si>
  <si>
    <t>Recommended NAS (GB)</t>
  </si>
  <si>
    <t>Additional NAS (GB)</t>
  </si>
  <si>
    <t>NAS (GB) Dedicated</t>
  </si>
  <si>
    <t>NAS 
(GB) Shared</t>
  </si>
  <si>
    <t>NAS Shared Groups</t>
  </si>
  <si>
    <t>Archive
Full (GB)</t>
  </si>
  <si>
    <t>Archive
Incr (GB)</t>
  </si>
  <si>
    <t>HSM Required?</t>
  </si>
  <si>
    <t>DMZ Required?</t>
  </si>
  <si>
    <t>Type of Network Connection I</t>
  </si>
  <si>
    <t># of Connections I</t>
  </si>
  <si>
    <t>Type of Network Connection II</t>
  </si>
  <si>
    <t># of Connections II</t>
  </si>
  <si>
    <t>Primary
IP</t>
  </si>
  <si>
    <t>Secondary
IP</t>
  </si>
  <si>
    <t>Capital Costs
(One-Time)</t>
  </si>
  <si>
    <t>Capital Costs
(Annual)</t>
  </si>
  <si>
    <t>Notes</t>
  </si>
  <si>
    <t>SW Start</t>
  </si>
  <si>
    <t>Ab Initio</t>
  </si>
  <si>
    <t>CA APM</t>
  </si>
  <si>
    <t>FinCAD</t>
  </si>
  <si>
    <t>IBM BG Web Client</t>
  </si>
  <si>
    <t>IBM Biz Glossary</t>
  </si>
  <si>
    <t>IBM Datastage</t>
  </si>
  <si>
    <t>IBM DS Designer</t>
  </si>
  <si>
    <t>IBM DS IS Dir</t>
  </si>
  <si>
    <t>IBM HTTP pSeries</t>
  </si>
  <si>
    <t>IBM Tivoli DS</t>
  </si>
  <si>
    <t>IBM WAS pSeries</t>
  </si>
  <si>
    <t>IBM WAS x86</t>
  </si>
  <si>
    <t>IBM WBM pSeries</t>
  </si>
  <si>
    <t>IBM WMQ x86</t>
  </si>
  <si>
    <t>IBM WPS pSeries</t>
  </si>
  <si>
    <t>IBM WPS x86</t>
  </si>
  <si>
    <t>IBM WS Process Srvr</t>
  </si>
  <si>
    <t>IBM WS VE (Cntrlr)</t>
  </si>
  <si>
    <t>IBM WS VE (Node)</t>
  </si>
  <si>
    <t>Kana (Both)</t>
  </si>
  <si>
    <t>MS SQL EE (Ext)</t>
  </si>
  <si>
    <t>MS SQL EE (Int)</t>
  </si>
  <si>
    <t>MS SQL SE (Ext)</t>
  </si>
  <si>
    <t>MS SQL SE (Int)</t>
  </si>
  <si>
    <t>Oracle ASO pSeries</t>
  </si>
  <si>
    <t>Oracle ASO x86</t>
  </si>
  <si>
    <t>Oracle Ext. Bundle pSeries</t>
  </si>
  <si>
    <t>Oracle Ext. Bundle x86</t>
  </si>
  <si>
    <t>Oracle GG pSeries</t>
  </si>
  <si>
    <t>Oracle GG x86</t>
  </si>
  <si>
    <t>Oracle GG Veridata pSeries</t>
  </si>
  <si>
    <t>Oracle GG Veridata x86</t>
  </si>
  <si>
    <t>Oracle Partitioning pSeries</t>
  </si>
  <si>
    <t>Oracle Partitioning x86</t>
  </si>
  <si>
    <t>Oracle Spatial pSeries</t>
  </si>
  <si>
    <t>Oracle Spatial x86</t>
  </si>
  <si>
    <t>Oracle WebLogic pSeries</t>
  </si>
  <si>
    <t>Oracle WebLogic x86</t>
  </si>
  <si>
    <t>PB Spectrum</t>
  </si>
  <si>
    <t>SAP BO</t>
  </si>
  <si>
    <t>Sterling NDM</t>
  </si>
  <si>
    <t>TIBCO Adapter SDK</t>
  </si>
  <si>
    <t>TIBCO AMX BPM</t>
  </si>
  <si>
    <t>TIBCO BE</t>
  </si>
  <si>
    <t>TIBCO BW</t>
  </si>
  <si>
    <t>TIBCO EMS</t>
  </si>
  <si>
    <t>TIBCO iProcess</t>
  </si>
  <si>
    <t>Veritas Cluster/CFS</t>
  </si>
  <si>
    <t>SW End</t>
  </si>
  <si>
    <t>Software Costs
[Year 1]
(Monthly)</t>
  </si>
  <si>
    <t>Software Costs
[After Year 1]
(Monthly)</t>
  </si>
  <si>
    <t>Server HW Costs
(Monthly)</t>
  </si>
  <si>
    <t>Storage Costs
(Monthly)</t>
  </si>
  <si>
    <t>Tape Costs
(Monthly)</t>
  </si>
  <si>
    <t>Total Hardware Costs
(Monthly)</t>
  </si>
  <si>
    <t>Total Server Costs
[Year 1]
SW+HW
(Monthly)</t>
  </si>
  <si>
    <t>Total Server Costs
[After Year 1]
SW+HW
(Monthly)</t>
  </si>
  <si>
    <t>Initial Server Cost</t>
  </si>
  <si>
    <t>Total CPUs</t>
  </si>
  <si>
    <t>Total Cores</t>
  </si>
  <si>
    <t>Total RAM</t>
  </si>
  <si>
    <t>Total VMware Costs</t>
  </si>
  <si>
    <t>Outside VMware Costs</t>
  </si>
  <si>
    <t>Existing VMware Costs</t>
  </si>
  <si>
    <t>New VMware (Adjusted)</t>
  </si>
  <si>
    <t>Server Cost Breakdown</t>
  </si>
  <si>
    <t>OS/SW Costs</t>
  </si>
  <si>
    <t>VMware Memory</t>
  </si>
  <si>
    <t>New Memory Cost (Initial)</t>
  </si>
  <si>
    <t>New Memory Cost (Adjusted)</t>
  </si>
  <si>
    <t>Support Cost</t>
  </si>
  <si>
    <t>Network Cost</t>
  </si>
  <si>
    <t>NOTE: DO NOT DELETE THIS ROW</t>
  </si>
  <si>
    <t>Row Labels</t>
  </si>
  <si>
    <t>Grand Total</t>
  </si>
  <si>
    <t>Sum of SAN (GB)</t>
  </si>
  <si>
    <t>ESB-DB</t>
  </si>
  <si>
    <t xml:space="preserve">ESB-EMS </t>
  </si>
  <si>
    <t xml:space="preserve">ESB-BW </t>
  </si>
  <si>
    <t xml:space="preserve">CPU/memory  sharing with COB </t>
  </si>
  <si>
    <t>rndodws</t>
  </si>
  <si>
    <t>HSM</t>
  </si>
  <si>
    <t>cob-New LPAR 1</t>
  </si>
  <si>
    <t>cob-New LPAR 2</t>
  </si>
  <si>
    <t>rdcgcgestaa01c</t>
  </si>
  <si>
    <t>rdcgcgestaa02c</t>
  </si>
  <si>
    <t>Column Labels</t>
  </si>
  <si>
    <t>(Multiple Items)</t>
  </si>
  <si>
    <t>Total GB</t>
  </si>
  <si>
    <t>Cost $</t>
  </si>
  <si>
    <t>PROD - Silver/Replicated ( GB)</t>
  </si>
  <si>
    <t>COB -    Silver/Replicated ( GB)</t>
  </si>
  <si>
    <t>UAT/PAT -  Silver Non-Replicated (GB)</t>
  </si>
  <si>
    <t>Total Cost $</t>
  </si>
  <si>
    <t>Linux Servers</t>
  </si>
  <si>
    <t>APPLICATION</t>
  </si>
  <si>
    <t>ENV</t>
  </si>
  <si>
    <t>BLADE</t>
  </si>
  <si>
    <t>Cores</t>
  </si>
  <si>
    <t>RAM</t>
  </si>
  <si>
    <t>Avatar Parallel Run (with Threshold)</t>
  </si>
  <si>
    <t>DASD</t>
  </si>
  <si>
    <t>Cluster Disk</t>
  </si>
  <si>
    <t>N/W HSM</t>
  </si>
  <si>
    <t>Remarks</t>
  </si>
  <si>
    <t>CBOL/MBOL</t>
  </si>
  <si>
    <t>Total</t>
  </si>
  <si>
    <t>AIX Servers</t>
  </si>
  <si>
    <t>G2C BOM</t>
  </si>
  <si>
    <t>Poland G2C</t>
  </si>
  <si>
    <t>Linux Server</t>
  </si>
  <si>
    <t>Location</t>
  </si>
  <si>
    <t>LPAR Name</t>
  </si>
  <si>
    <t>Platform</t>
  </si>
  <si>
    <t>Cluster 
Disk</t>
  </si>
  <si>
    <t>Software</t>
  </si>
  <si>
    <t>Linux</t>
  </si>
  <si>
    <t>AIX</t>
  </si>
  <si>
    <t>Sum of DASD</t>
  </si>
  <si>
    <t xml:space="preserve">Sum of Cluster </t>
  </si>
  <si>
    <t>Project</t>
  </si>
</sst>
</file>

<file path=xl/styles.xml><?xml version="1.0" encoding="utf-8"?>
<styleSheet xmlns="http://schemas.openxmlformats.org/spreadsheetml/2006/main" xmlns:mc="http://schemas.openxmlformats.org/markup-compatibility/2006" xmlns:x14ac="http://schemas.microsoft.com/office/spreadsheetml/2009/9/ac" mc:Ignorable="x14ac">
  <numFmts count="182">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quot;$&quot;#,##0"/>
    <numFmt numFmtId="166" formatCode="0.0"/>
    <numFmt numFmtId="167" formatCode="_(* #,##0.0_);_(* \(#,##0.0\);_(* &quot;-&quot;??_);_(@_)"/>
    <numFmt numFmtId="168" formatCode="_-&quot;£&quot;* #,##0.00_-;\-&quot;£&quot;* #,##0.00_-;_-&quot;£&quot;* &quot;-&quot;??_-;_-@_-"/>
    <numFmt numFmtId="169" formatCode="#,##0.0;\(#,##0.0\)"/>
    <numFmt numFmtId="170" formatCode="[Blue]#,##0,\ \ \ ;[Red]\(#,##0,\)\ \ ;\-\-\ \ \ "/>
    <numFmt numFmtId="171" formatCode="#,##0,\ \ \ ;\(#,##0,\)\ \ ;\-\-\ \ \ "/>
    <numFmt numFmtId="172" formatCode="0.000"/>
    <numFmt numFmtId="173" formatCode="#,##0;\(#,##0\)"/>
    <numFmt numFmtId="174" formatCode="#,##0.0_);[Red]\(#,##0.0\)"/>
    <numFmt numFmtId="175" formatCode="_(#,##0_ *m\²_)"/>
    <numFmt numFmtId="176" formatCode="0.0_)\%;\(0.0\)\%;0.0_)\%;@_)_%"/>
    <numFmt numFmtId="177" formatCode="0.0_)%;\(0.0&quot;)%&quot;;0.0_)%;@_)_%"/>
    <numFmt numFmtId="178" formatCode="#,##0.0_)_%;\(#,##0.0\)_%;0.0_)_%;@_)_%"/>
    <numFmt numFmtId="179" formatCode="_-* #,##0_-;\-* #,##0_-;_-* &quot;-&quot;_-;_-@_-"/>
    <numFmt numFmtId="180" formatCode="#,##0.0_);\(#,##0.0\);#,##0.0_);@_)"/>
    <numFmt numFmtId="181" formatCode="&quot;$&quot;_(#,##0.00_);&quot;$&quot;\(#,##0.00\);&quot;$&quot;_(0.00_);@_)"/>
    <numFmt numFmtId="182" formatCode="\$_(#,##0.00_);&quot;$(&quot;#,##0.00\);\$_(0.00_);@_)"/>
    <numFmt numFmtId="183" formatCode="&quot;£&quot;_(#,##0.00_);&quot;£&quot;\(#,##0.00\);&quot;£&quot;_(0.00_);@_)"/>
    <numFmt numFmtId="184" formatCode="\•\ \ @"/>
    <numFmt numFmtId="185" formatCode="#,##0.00_);\(#,##0.00\);0.00_);@_)"/>
    <numFmt numFmtId="186" formatCode="\€_(#,##0.00_);\€\(#,##0.00\);\€_(0.00_);@_)"/>
    <numFmt numFmtId="187" formatCode="&quot;€&quot;_(#,##0.00_);&quot;€&quot;\(#,##0.00\);&quot;€&quot;_(0.00_);@_)"/>
    <numFmt numFmtId="188" formatCode="\€_(#,##0.00_);&quot;€(&quot;#,##0.00\);\€_(0.00_);@_)"/>
    <numFmt numFmtId="189" formatCode="General_)"/>
    <numFmt numFmtId="190" formatCode="#,##0_)\x;\(#,##0\)\x;0_)\x;@_)_x"/>
    <numFmt numFmtId="191" formatCode="#,##0.0_)\x;\(#,##0.0\)\x;0.0_)\x;@_)_x"/>
    <numFmt numFmtId="192" formatCode="#,##0_)\x;\(#,##0&quot;)x&quot;;0_)\x;@_)_x"/>
    <numFmt numFmtId="193" formatCode="#,##0_)_x;\(#,##0\)_x;0_)_x;@_)_x"/>
    <numFmt numFmtId="194" formatCode="#,##0.0_)_x;\(#,##0.0\)_x;0.0_)_x;@_)_x"/>
    <numFmt numFmtId="195" formatCode="\£\ #,##0_);[Red]\(\£\ #,##0\)"/>
    <numFmt numFmtId="196" formatCode="\¥\ #,##0_);[Red]\(\¥\ #,##0\)"/>
    <numFmt numFmtId="197" formatCode="#,##0_);\(#,##0\);\-_)"/>
    <numFmt numFmtId="198" formatCode="###0_);\(###0\);\-_)"/>
    <numFmt numFmtId="199" formatCode="_-&quot;$&quot;* #,##0_-;\-&quot;$&quot;* #,##0_-;_-&quot;$&quot;* &quot;-&quot;_-;_-@_-"/>
    <numFmt numFmtId="200" formatCode="mm/dd/yy"/>
    <numFmt numFmtId="201" formatCode="_ * #,##0_)_W_ ;_ * \(#,##0\)_W_ ;_ * &quot;-&quot;_)_W_ ;_ @_ "/>
    <numFmt numFmtId="202" formatCode="_ * #,##0.00_)_W_ ;_ * \(#,##0.00\)_W_ ;_ * &quot;-&quot;??_)_W_ ;_ @_ "/>
    <numFmt numFmtId="203" formatCode="#,##0\ ;"/>
    <numFmt numFmtId="204" formatCode="&quot;\&quot;#,##0.00;[Red]&quot;\&quot;\-#,##0.00"/>
    <numFmt numFmtId="205" formatCode="#,##0.000_);\(#,##0.000\);\-"/>
    <numFmt numFmtId="206" formatCode="\(#,##0\ ;\-#,##0\ ;\)"/>
    <numFmt numFmtId="207" formatCode="&quot;\&quot;#,##0;[Red]&quot;\&quot;\-#,##0"/>
    <numFmt numFmtId="208" formatCode="_ * #,##0_)&quot;W&quot;_ ;_ * \(#,##0\)&quot;W&quot;_ ;_ * &quot;-&quot;_)&quot;W&quot;_ ;_ @_ "/>
    <numFmt numFmtId="209" formatCode="_ * #,##0.00_)&quot;W&quot;_ ;_ * \(#,##0.00\)&quot;W&quot;_ ;_ * &quot;-&quot;??_)&quot;W&quot;_ ;_ @_ "/>
    <numFmt numFmtId="210" formatCode="[Blue]#,##0;\-#,##0"/>
    <numFmt numFmtId="211" formatCode="#,##0;[Red]&quot;-&quot;#,##0"/>
    <numFmt numFmtId="212" formatCode="\(#,##0\ ;\-#,##0;\)"/>
    <numFmt numFmtId="213" formatCode="#,##0.00;[Red]&quot;-&quot;#,##0.00"/>
    <numFmt numFmtId="214" formatCode="_-* #,##0.00_-;\-* #,##0.00_-;_-* &quot;-&quot;??_-;_-@_-"/>
    <numFmt numFmtId="215" formatCode="#,##0.0;[Red]\(#,##0.0\)"/>
    <numFmt numFmtId="216" formatCode="[Blue]#,##0\ \ \ ;[Blue]\(#,##0\)\ \ "/>
    <numFmt numFmtId="217" formatCode="[Blue]0.0%;[Blue]\-0.0%"/>
    <numFmt numFmtId="218" formatCode="#\ ###\ ###\ ##0\ "/>
    <numFmt numFmtId="219" formatCode="_(* #,##0.0_);_(* \(#,##0.0\);_(* &quot;-&quot;?_);@_)"/>
    <numFmt numFmtId="220" formatCode="&quot;$&quot;#,###.00_);\(&quot;$&quot;#,###.00\);;&quot;num required&quot;\)"/>
    <numFmt numFmtId="221" formatCode="[Red]##,#0_;\(#,##0.0\)%"/>
    <numFmt numFmtId="222" formatCode="_-* #,##0.00\ _F_-;\-* #,##0.00\ _F_-;_-* &quot;-&quot;??\ _F_-;_-@_-"/>
    <numFmt numFmtId="223" formatCode="d/m/yy"/>
    <numFmt numFmtId="224" formatCode="&quot;fl&quot;#,##0_);\(&quot;fl&quot;#,##0\)"/>
    <numFmt numFmtId="225" formatCode="d/m/yy\ h:mm"/>
    <numFmt numFmtId="226" formatCode="&quot;fl&quot;#,##0_);[Red]\(&quot;fl&quot;#,##0\)"/>
    <numFmt numFmtId="227" formatCode="#,##0&quot; F&quot;_);\(#,##0&quot; F&quot;\)"/>
    <numFmt numFmtId="228" formatCode="_(* #,##0.0_);_(* \(#,##0.00\);_(* &quot;-&quot;??_);_(@_)"/>
    <numFmt numFmtId="229" formatCode="#,##0;\-#,##0;&quot;-&quot;"/>
    <numFmt numFmtId="230" formatCode="&quot;fl&quot;#,##0.00_);\(&quot;fl&quot;#,##0.00\)"/>
    <numFmt numFmtId="231" formatCode="#,##0&quot; F&quot;_);[Red]\(#,##0&quot; F&quot;\)"/>
    <numFmt numFmtId="232" formatCode="#,##0_);\(#,##0\);"/>
    <numFmt numFmtId="233" formatCode="&quot;$&quot;* #,##0_);&quot;$&quot;* \(#,##0\);;&quot;num required&quot;\)"/>
    <numFmt numFmtId="234" formatCode="m/d"/>
    <numFmt numFmtId="235" formatCode="0.0000000"/>
    <numFmt numFmtId="236" formatCode="#,##0_%_);\(#,##0\)_%;**;@_%_)"/>
    <numFmt numFmtId="237" formatCode="#,##0_%_);\(#,##0\)_%;#,##0_%_);@_%_)"/>
    <numFmt numFmtId="238" formatCode="#,##0.00_%_);\(#,##0.00\)_%;**;@_%_)"/>
    <numFmt numFmtId="239" formatCode="#,##0.000_%_);\(#,##0.000\)_%;**;@_%_)"/>
    <numFmt numFmtId="240" formatCode="mmm\.yy"/>
    <numFmt numFmtId="241" formatCode="#,##0.0_%_);\(#,##0.0\)_%;**;@_%_)"/>
    <numFmt numFmtId="242" formatCode="\ \ _•\–\ \ \ \ @"/>
    <numFmt numFmtId="243" formatCode="#,##0.0_);\(#,##0.0\)"/>
    <numFmt numFmtId="244" formatCode="\ \ \ \ &quot;$&quot;* #,##0.0_);[Red]\(\ \ \ &quot;$&quot;* #,##0.0\)"/>
    <numFmt numFmtId="245" formatCode="0.0000"/>
    <numFmt numFmtId="246" formatCode="&quot;$&quot;#,##0.00_%_);\(&quot;$&quot;#,##0.00\)_%;**;@_%_)"/>
    <numFmt numFmtId="247" formatCode="&quot;$&quot;#,##0.000_%_);\(&quot;$&quot;#,##0.000\)_%;**;@_%_)"/>
    <numFmt numFmtId="248" formatCode="&quot;$&quot;#,##0.0_%_);\(&quot;$&quot;#,##0.0\)_%;**;@_%_)"/>
    <numFmt numFmtId="249" formatCode="&quot;$&quot;#,##0\ ;\(&quot;$&quot;#,##0\)"/>
    <numFmt numFmtId="250" formatCode="_ &quot;\&quot;* #,##0_ ;_ &quot;\&quot;* &quot;\&quot;\-#,##0_ ;_ &quot;\&quot;* &quot;-&quot;_ ;_ @_ "/>
    <numFmt numFmtId="251" formatCode="&quot;$&quot;#,##0.00_)\ \ ;\(&quot;$&quot;#,##0.00\)\ \ "/>
    <numFmt numFmtId="252" formatCode="\ &quot;$&quot;* #,##0.0_);\ &quot;$&quot;* \(#,##0.0\);;&quot;num required&quot;\)"/>
    <numFmt numFmtId="253" formatCode="mm/dd/yyyy"/>
    <numFmt numFmtId="254" formatCode="&quot;$&quot;#,##0.0_)_);\(&quot;$&quot;#,##0.0\)_)_);_(&quot;$&quot;* &quot;-&quot;??_);_(@_)"/>
    <numFmt numFmtId="255" formatCode="&quot;RM&quot;#,##0.00;\-&quot;RM&quot;#,##0.00"/>
    <numFmt numFmtId="256" formatCode="&quot;$&quot;* \ #,###.000_);\(&quot;$&quot;* \ #,###.000\);;&quot;num required&quot;\)"/>
    <numFmt numFmtId="257" formatCode="#,##0.000_);\(#,##0.000\)"/>
    <numFmt numFmtId="258" formatCode="#,##0.000"/>
    <numFmt numFmtId="259" formatCode="_ &quot;\&quot;* #,##0.00_ ;_ &quot;\&quot;* &quot;\&quot;\-#,##0.00_ ;_ &quot;\&quot;* &quot;-&quot;??_ ;_ @_ "/>
    <numFmt numFmtId="260" formatCode="&quot;$&quot;#,##0.0\ \ \ ;\(&quot;$&quot;#,##0.0\)\ \ "/>
    <numFmt numFmtId="261" formatCode="&quot;$&quot;* \ #,###.00_);&quot;$&quot;* \ \(#,###.00\);;&quot;num required&quot;\)"/>
    <numFmt numFmtId="262" formatCode="\ \ \ \ &quot;$&quot;* #,##0.0"/>
    <numFmt numFmtId="263" formatCode="\ \ &quot;$&quot;* #,##0.0_);&quot;$&quot;* \(#,##0.0\);;&quot;num required&quot;\)"/>
    <numFmt numFmtId="264" formatCode="&quot;$&quot;* #,##0.00"/>
    <numFmt numFmtId="265" formatCode="\ \ &quot;$&quot;* #,##0.00"/>
    <numFmt numFmtId="266" formatCode="\ \ &quot;$&quot;* #,###.000_);\(\ \ &quot;$&quot;* #,###.000\);;&quot;num required&quot;\)"/>
    <numFmt numFmtId="267" formatCode="#,###.0_);\(#,###.0\)"/>
    <numFmt numFmtId="268" formatCode="#,###.##_);\(#,###.##\);"/>
    <numFmt numFmtId="269" formatCode="&quot;$&quot;* #,##0.#_);&quot;$&quot;* \(#,##0.#\);;&quot;num required&quot;\)"/>
    <numFmt numFmtId="270" formatCode="_([$€-2]* #,##0.00_);_([$€-2]* \(#,##0.00\);_([$€-2]* &quot;-&quot;??_)"/>
    <numFmt numFmtId="271" formatCode="_(* #,##0_);_(* \(#,##0\);_(* &quot; - &quot;_);_(@_)"/>
    <numFmt numFmtId="272" formatCode="#,##0;\(#,##0\);&quot;-&quot;"/>
    <numFmt numFmtId="273" formatCode="\+\ #\ ??/??;[Red]\ \-\ #\ ??/??"/>
    <numFmt numFmtId="274" formatCode="0.0%"/>
    <numFmt numFmtId="275" formatCode="#"/>
    <numFmt numFmtId="276" formatCode="&quot;$&quot;#,##0.0;\(&quot;$&quot;#,##0.0\)"/>
    <numFmt numFmtId="277" formatCode="&quot;$&quot;#,##0.0_)\ \ ;\(&quot;$&quot;#,##0.0\)\ \ "/>
    <numFmt numFmtId="278" formatCode="0.0\ \x\ \ \ \ ;&quot;NM      &quot;;\ 0.0\ \x\ \ \ \ "/>
    <numFmt numFmtId="279" formatCode="0.0%_)\ \ ;\(0.0%\)\ \ "/>
    <numFmt numFmtId="280" formatCode="_-* #,##0\ _$_-;\-* #,##0\ _$_-;_-* &quot;-&quot;\ _$_-;_-@_-"/>
    <numFmt numFmtId="281" formatCode="_-* #,##0\ _F_-;\-* #,##0\ _F_-;_-* &quot;-&quot;\ _F_-;_-@_-"/>
    <numFmt numFmtId="282" formatCode="&quot;Cr$&quot;\ #,##0_);[Red]\(&quot;Cr$&quot;\ #,##0\)"/>
    <numFmt numFmtId="283" formatCode="_(&quot;R$&quot;* #,##0.00_);_(&quot;R$&quot;* \(#,##0.00\);_(&quot;R$&quot;* &quot;-&quot;??_);_(@_)"/>
    <numFmt numFmtId="284" formatCode="_ &quot;S/&quot;* #,##0_ ;_ &quot;S/&quot;* \-#,##0_ ;_ &quot;S/&quot;* &quot;-&quot;_ ;_ @_ "/>
    <numFmt numFmtId="285" formatCode="_ &quot;S/&quot;* #,##0.00_ ;_ &quot;S/&quot;* \-#,##0.00_ ;_ &quot;S/&quot;* &quot;-&quot;??_ ;_ @_ "/>
    <numFmt numFmtId="286" formatCode="_-* #,##0\ &quot;F&quot;_-;\-* #,##0\ &quot;F&quot;_-;_-* &quot;-&quot;\ &quot;F&quot;_-;_-@_-"/>
    <numFmt numFmtId="287" formatCode="_-* #,##0.00\ &quot;F&quot;_-;\-* #,##0.00\ &quot;F&quot;_-;_-* &quot;-&quot;??\ &quot;F&quot;_-;_-@_-"/>
    <numFmt numFmtId="288" formatCode="#,##0.0_x_)_);&quot;NM&quot;_x_)_);#,##0.0_x_)_);@_x_)_)"/>
    <numFmt numFmtId="289" formatCode="_-* ###\ ###\ ##0_-;_-* \-###\ ###\ ##0_-;_-* &quot;－&quot;_-;_-@_-"/>
    <numFmt numFmtId="290" formatCode="_-* ###\ ##0.0_-;_-* \-###\ ##0.0_-;_-* &quot;－&quot;_-;_-@_-"/>
    <numFmt numFmtId="291" formatCode="_-* ###\ ##0.00_-;_-* \-###\ ##0.00_-;_-* &quot;－&quot;_-;_-@_-"/>
    <numFmt numFmtId="292" formatCode="_-* ###\ ##0.000_-;_-* \-###\ ##0.000_-;_-* &quot;－&quot;_-;_-@_-"/>
    <numFmt numFmtId="293" formatCode="_(* #,##0.0_);_(* \(#,##0.0\);_(* &quot;-&quot;?_);_(@_)"/>
    <numFmt numFmtId="294" formatCode="#,##0.0000000000_);\(#,##0.0000000000\)"/>
    <numFmt numFmtId="295" formatCode="#,##0.00_)\ \ ;\(#,##0.00\)\ \ "/>
    <numFmt numFmtId="296" formatCode="#,##0.000;\(#,##0.000\)"/>
    <numFmt numFmtId="297" formatCode="&quot;£&quot;#,##0.00;\-&quot;£&quot;#,##0.00"/>
    <numFmt numFmtId="298" formatCode="#,##0.0\x;\(#,##0.0\)\x"/>
    <numFmt numFmtId="299" formatCode="#,##0.0\ \ \ ;\(#,##0.0\)\ \ "/>
    <numFmt numFmtId="300" formatCode="0%_);\(0%\)"/>
    <numFmt numFmtId="301" formatCode="\60\4\7\:"/>
    <numFmt numFmtId="302" formatCode="0%;\(0%\)"/>
    <numFmt numFmtId="303" formatCode="&quot;$&quot;#,##0.0;[Red]&quot;$&quot;#,##0.0"/>
    <numFmt numFmtId="304" formatCode="0.0%_);\(0.0%\);**;@_%_)"/>
    <numFmt numFmtId="305" formatCode="#,##0.00000_);[Red]\(#,##0.00000\)"/>
    <numFmt numFmtId="306" formatCode="#,##0.0\x"/>
    <numFmt numFmtId="307" formatCode="#,##0&quot;   &quot;;[Red]\-#,##0&quot;   &quot;"/>
    <numFmt numFmtId="308" formatCode="_(* #,##0,_);_(* \(#,##0,\);_(* &quot;-&quot;_);_(@_)"/>
    <numFmt numFmtId="309" formatCode="\1000"/>
    <numFmt numFmtId="310" formatCode="#,##0.00;\(#,##0.00\);_(* &quot;-&quot;_)"/>
    <numFmt numFmtId="311" formatCode="#,##0;\(#,##0\);_(* &quot;-&quot;_)"/>
    <numFmt numFmtId="312" formatCode="_(&quot;$&quot;* #,##0.00_);_(&quot;$&quot;* \(#,##0.00\);_(* &quot;-&quot;_);_(@_)"/>
    <numFmt numFmtId="313" formatCode="#,##0.00_);\(#,##0.00\);_(* &quot;-&quot;_)"/>
    <numFmt numFmtId="314" formatCode="#,##0.0_);\(#,##0.0\);_(* &quot;-&quot;_)"/>
    <numFmt numFmtId="315" formatCode="#,##0_);\(#,##0\);_(* &quot;-&quot;_);_(* &quot;-&quot;_)"/>
    <numFmt numFmtId="316" formatCode="_(###.##%_);\(* &quot;-&quot;_);_(@_)"/>
    <numFmt numFmtId="317" formatCode="#,##0.00%"/>
    <numFmt numFmtId="318" formatCode="#,##0.0"/>
    <numFmt numFmtId="319" formatCode="_(&quot;$&quot;* #,##0.0_);_(&quot;$&quot;* \(#,##0.0\);_(* &quot;-&quot;_);_(@_)"/>
    <numFmt numFmtId="320" formatCode="#,##0.00\x"/>
    <numFmt numFmtId="321" formatCode="_(* #,##0.0_);_(* \(#,##0.0\);_(* &quot;-&quot;_);_(@_)"/>
    <numFmt numFmtId="322" formatCode="0.0\x"/>
    <numFmt numFmtId="323" formatCode="m/d/yy"/>
    <numFmt numFmtId="324" formatCode="&quot;fl&quot;#,##0.00_);[Red]\(&quot;fl&quot;#,##0.00\)"/>
    <numFmt numFmtId="325" formatCode="#,##0.00&quot; F&quot;_);\(#,##0.00&quot; F&quot;\)"/>
    <numFmt numFmtId="326" formatCode="_(&quot;fl&quot;* #,##0_);_(&quot;fl&quot;* \(#,##0\);_(&quot;fl&quot;* &quot;-&quot;_);_(@_)"/>
    <numFmt numFmtId="327" formatCode="#,##0.00&quot; F&quot;_);[Red]\(#,##0.00&quot; F&quot;\)"/>
    <numFmt numFmtId="328" formatCode="&quot;$&quot;* #,##0.0_);&quot;$&quot;* \(#,##0.0\);;&quot;num required&quot;\)"/>
    <numFmt numFmtId="329" formatCode="[White]General;[White]General;[White]General;[White]General"/>
    <numFmt numFmtId="330" formatCode="0\ \ ;\(0\)\ \ \ "/>
    <numFmt numFmtId="331" formatCode="0.0%_);\(0.0%\);0.0%_);@_%_)"/>
    <numFmt numFmtId="332" formatCode="_-* #,##0,_);[Red]\(#,##0,\)"/>
    <numFmt numFmtId="333" formatCode="_-&quot;$&quot;* #,##0.00_-;\-&quot;$&quot;* #,##0.00_-;_-&quot;$&quot;* &quot;-&quot;??_-;_-@_-"/>
    <numFmt numFmtId="334" formatCode="000000"/>
    <numFmt numFmtId="335" formatCode="0000000000"/>
    <numFmt numFmtId="336" formatCode="_(* #,##0_);_(* \(#,##0\);_(* &quot;-&quot;??_);_(@_)"/>
    <numFmt numFmtId="337" formatCode="[$-409]d\-mmm;@"/>
    <numFmt numFmtId="338" formatCode="_(&quot;$&quot;* #,##0_);_(&quot;$&quot;* \(#,##0\);_(&quot;$&quot;* &quot;-&quot;??_);_(@_)"/>
  </numFmts>
  <fonts count="287">
    <font>
      <sz val="11"/>
      <color theme="1"/>
      <name val="Calibri"/>
      <family val="2"/>
      <scheme val="minor"/>
    </font>
    <font>
      <b/>
      <sz val="11"/>
      <color theme="1"/>
      <name val="Calibri"/>
      <family val="2"/>
      <scheme val="minor"/>
    </font>
    <font>
      <sz val="10"/>
      <name val="Helv"/>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font>
    <font>
      <b/>
      <sz val="8"/>
      <color indexed="9"/>
      <name val="Calibri"/>
      <family val="2"/>
    </font>
    <font>
      <sz val="8"/>
      <name val="Calibri"/>
      <family val="2"/>
    </font>
    <font>
      <b/>
      <sz val="11"/>
      <color indexed="8"/>
      <name val="Calibri"/>
      <family val="2"/>
    </font>
    <font>
      <b/>
      <sz val="8"/>
      <name val="Calibri"/>
      <family val="2"/>
    </font>
    <font>
      <sz val="11"/>
      <color indexed="10"/>
      <name val="Calibri"/>
      <family val="2"/>
    </font>
    <font>
      <sz val="10"/>
      <name val="Arial"/>
      <family val="2"/>
    </font>
    <font>
      <b/>
      <sz val="10"/>
      <name val="Arial"/>
      <family val="2"/>
    </font>
    <font>
      <sz val="10"/>
      <color indexed="8"/>
      <name val="Arial"/>
      <family val="2"/>
    </font>
    <font>
      <sz val="12"/>
      <color indexed="8"/>
      <name val="Times New Roman"/>
      <family val="1"/>
    </font>
    <font>
      <sz val="10"/>
      <color indexed="10"/>
      <name val="Arial"/>
      <family val="2"/>
    </font>
    <font>
      <u/>
      <sz val="9.35"/>
      <color theme="10"/>
      <name val="Calibri"/>
      <family val="2"/>
    </font>
    <font>
      <sz val="11"/>
      <name val="Calibri"/>
      <family val="2"/>
      <scheme val="minor"/>
    </font>
    <font>
      <sz val="8"/>
      <color theme="1"/>
      <name val="Calibri"/>
      <family val="2"/>
      <scheme val="minor"/>
    </font>
    <font>
      <sz val="8"/>
      <color theme="1"/>
      <name val="Arial"/>
      <family val="2"/>
    </font>
    <font>
      <sz val="9"/>
      <name val="MS Sans Serif"/>
      <family val="2"/>
    </font>
    <font>
      <b/>
      <sz val="10"/>
      <color indexed="9"/>
      <name val="Arial"/>
      <family val="2"/>
    </font>
    <font>
      <sz val="9"/>
      <color indexed="8"/>
      <name val="Arial"/>
      <family val="2"/>
    </font>
    <font>
      <sz val="10"/>
      <name val="Geneva"/>
      <family val="2"/>
    </font>
    <font>
      <sz val="10"/>
      <name val="Courier"/>
      <family val="3"/>
    </font>
    <font>
      <sz val="12"/>
      <name val="Arial"/>
      <family val="2"/>
    </font>
    <font>
      <sz val="11"/>
      <name val="Book Antiqua"/>
      <family val="1"/>
    </font>
    <font>
      <sz val="10"/>
      <name val="Times New Roman"/>
      <family val="1"/>
    </font>
    <font>
      <sz val="10"/>
      <name val="MS Sans Serif"/>
      <family val="2"/>
    </font>
    <font>
      <sz val="8"/>
      <name val="Arial"/>
      <family val="2"/>
    </font>
    <font>
      <sz val="10"/>
      <name val="Helv"/>
    </font>
    <font>
      <sz val="10"/>
      <name val="Helv"/>
      <charset val="204"/>
    </font>
    <font>
      <sz val="12"/>
      <name val="Times New Roman"/>
      <family val="1"/>
    </font>
    <font>
      <b/>
      <sz val="22"/>
      <color indexed="18"/>
      <name val="Arial"/>
      <family val="2"/>
    </font>
    <font>
      <b/>
      <sz val="22"/>
      <color indexed="30"/>
      <name val="Arial"/>
      <family val="2"/>
    </font>
    <font>
      <sz val="8"/>
      <name val="Helv"/>
    </font>
    <font>
      <sz val="12"/>
      <name val="Palatino"/>
      <family val="1"/>
    </font>
    <font>
      <b/>
      <sz val="14"/>
      <color indexed="18"/>
      <name val="Arial"/>
      <family val="2"/>
    </font>
    <font>
      <b/>
      <sz val="14"/>
      <color indexed="30"/>
      <name val="Arial"/>
      <family val="2"/>
    </font>
    <font>
      <b/>
      <sz val="10"/>
      <color indexed="18"/>
      <name val="Arial"/>
      <family val="2"/>
    </font>
    <font>
      <b/>
      <sz val="10"/>
      <color indexed="30"/>
      <name val="Arial"/>
      <family val="2"/>
    </font>
    <font>
      <b/>
      <u val="singleAccounting"/>
      <sz val="10"/>
      <color indexed="18"/>
      <name val="Arial"/>
      <family val="2"/>
    </font>
    <font>
      <b/>
      <u/>
      <sz val="10"/>
      <color indexed="30"/>
      <name val="Arial"/>
      <family val="2"/>
    </font>
    <font>
      <u/>
      <sz val="8.1"/>
      <color indexed="36"/>
      <name val="Arial"/>
      <family val="2"/>
    </font>
    <font>
      <sz val="12"/>
      <name val="DTMLetterRegular"/>
    </font>
    <font>
      <u/>
      <sz val="10"/>
      <color indexed="12"/>
      <name val="Arial"/>
      <family val="2"/>
    </font>
    <font>
      <u/>
      <sz val="10"/>
      <color indexed="36"/>
      <name val="MS Sans Serif"/>
      <family val="2"/>
    </font>
    <font>
      <sz val="10"/>
      <name val="lr SVbN"/>
    </font>
    <font>
      <sz val="14"/>
      <name val="¾©"/>
      <family val="3"/>
    </font>
    <font>
      <sz val="12"/>
      <name val="¾©"/>
      <family val="1"/>
    </font>
    <font>
      <sz val="10"/>
      <name val="lr SVbN"/>
      <family val="3"/>
    </font>
    <font>
      <sz val="10"/>
      <name val="Verdana"/>
      <family val="2"/>
    </font>
    <font>
      <sz val="11"/>
      <color indexed="9"/>
      <name val="Calibri"/>
      <family val="2"/>
    </font>
    <font>
      <sz val="10"/>
      <name val="ＭＳ Ｐゴシック"/>
      <family val="3"/>
      <charset val="128"/>
    </font>
    <font>
      <sz val="12"/>
      <name val="Book Antiqua"/>
      <family val="1"/>
    </font>
    <font>
      <sz val="12"/>
      <name val="Helv"/>
    </font>
    <font>
      <sz val="11"/>
      <name val="돋움"/>
      <family val="3"/>
      <charset val="129"/>
    </font>
    <font>
      <sz val="12"/>
      <name val="¸iA¶"/>
      <family val="3"/>
      <charset val="129"/>
    </font>
    <font>
      <sz val="11"/>
      <name val="돋움"/>
      <family val="3"/>
    </font>
    <font>
      <sz val="12"/>
      <name val="¹ÙÅÁÃ¼"/>
      <family val="3"/>
      <charset val="255"/>
    </font>
    <font>
      <u/>
      <sz val="10"/>
      <color indexed="36"/>
      <name val="Arial"/>
      <family val="2"/>
    </font>
    <font>
      <sz val="8"/>
      <name val="Times New Roman"/>
      <family val="1"/>
    </font>
    <font>
      <sz val="8"/>
      <color indexed="14"/>
      <name val="Helv"/>
    </font>
    <font>
      <sz val="11"/>
      <color indexed="20"/>
      <name val="Calibri"/>
      <family val="2"/>
    </font>
    <font>
      <b/>
      <sz val="11"/>
      <color indexed="9"/>
      <name val="Arial"/>
      <family val="2"/>
    </font>
    <font>
      <b/>
      <sz val="8"/>
      <name val="Times New Roman"/>
      <family val="1"/>
    </font>
    <font>
      <b/>
      <sz val="8"/>
      <color indexed="8"/>
      <name val="Times New Roman"/>
      <family val="1"/>
    </font>
    <font>
      <b/>
      <sz val="8"/>
      <color indexed="12"/>
      <name val="Times New Roman"/>
      <family val="1"/>
    </font>
    <font>
      <b/>
      <sz val="10"/>
      <color indexed="12"/>
      <name val="Arial"/>
      <family val="2"/>
    </font>
    <font>
      <sz val="12"/>
      <name val="Tms Rmn"/>
    </font>
    <font>
      <b/>
      <sz val="18"/>
      <name val="Geneva"/>
      <family val="2"/>
    </font>
    <font>
      <b/>
      <sz val="12"/>
      <name val="Times New Roman"/>
      <family val="1"/>
    </font>
    <font>
      <sz val="8"/>
      <name val="SwitzerlandLight"/>
    </font>
    <font>
      <sz val="7"/>
      <name val="SwitzerlandLight"/>
    </font>
    <font>
      <b/>
      <sz val="10"/>
      <name val="MS Sans Serif"/>
      <family val="2"/>
    </font>
    <font>
      <sz val="9"/>
      <name val="Arial"/>
      <family val="2"/>
    </font>
    <font>
      <sz val="7"/>
      <name val="Arial"/>
      <family val="2"/>
    </font>
    <font>
      <sz val="9"/>
      <name val="Times New Roman"/>
      <family val="1"/>
    </font>
    <font>
      <b/>
      <sz val="10"/>
      <color indexed="8"/>
      <name val="Times New Roman"/>
      <family val="1"/>
    </font>
    <font>
      <sz val="10"/>
      <name val="±¼¸²Ã¼"/>
      <family val="3"/>
    </font>
    <font>
      <sz val="12"/>
      <name val="±¼¸²A¼"/>
      <family val="3"/>
      <charset val="129"/>
    </font>
    <font>
      <b/>
      <sz val="11"/>
      <color indexed="52"/>
      <name val="Calibri"/>
      <family val="2"/>
    </font>
    <font>
      <b/>
      <sz val="10"/>
      <name val="Helv"/>
      <family val="2"/>
    </font>
    <font>
      <b/>
      <sz val="11"/>
      <name val="Arial"/>
      <family val="2"/>
    </font>
    <font>
      <b/>
      <sz val="11"/>
      <color indexed="9"/>
      <name val="Calibri"/>
      <family val="2"/>
    </font>
    <font>
      <u/>
      <sz val="8.1"/>
      <color indexed="12"/>
      <name val="Arial"/>
      <family val="2"/>
    </font>
    <font>
      <sz val="8"/>
      <color indexed="8"/>
      <name val="Times New Roman"/>
      <family val="1"/>
    </font>
    <font>
      <b/>
      <sz val="10"/>
      <name val="Geneva"/>
      <family val="2"/>
    </font>
    <font>
      <b/>
      <sz val="8"/>
      <name val="Arial"/>
      <family val="2"/>
    </font>
    <font>
      <b/>
      <sz val="12"/>
      <name val="Arial"/>
      <family val="2"/>
    </font>
    <font>
      <b/>
      <u val="singleAccounting"/>
      <sz val="8"/>
      <name val="Arial"/>
      <family val="2"/>
    </font>
    <font>
      <b/>
      <u val="singleAccounting"/>
      <sz val="8"/>
      <color indexed="8"/>
      <name val="Arial"/>
      <family val="2"/>
    </font>
    <font>
      <sz val="11"/>
      <name val="Tms Rmn"/>
      <family val="1"/>
    </font>
    <font>
      <sz val="8"/>
      <color indexed="12"/>
      <name val="Times New Roman"/>
      <family val="1"/>
    </font>
    <font>
      <sz val="8"/>
      <name val="Palatino"/>
      <family val="1"/>
    </font>
    <font>
      <sz val="11"/>
      <name val="돋움"/>
      <family val="2"/>
      <charset val="129"/>
    </font>
    <font>
      <sz val="10"/>
      <color indexed="24"/>
      <name val="Arial"/>
      <family val="2"/>
    </font>
    <font>
      <i/>
      <sz val="9"/>
      <name val="Arial"/>
      <family val="2"/>
    </font>
    <font>
      <b/>
      <sz val="14"/>
      <name val="Arial"/>
      <family val="2"/>
    </font>
    <font>
      <b/>
      <sz val="9"/>
      <color indexed="12"/>
      <name val="Arial"/>
      <family val="2"/>
    </font>
    <font>
      <sz val="10"/>
      <name val="MS Serif"/>
      <family val="1"/>
    </font>
    <font>
      <sz val="14"/>
      <name val="Palatino"/>
      <family val="1"/>
    </font>
    <font>
      <sz val="16"/>
      <name val="Palatino"/>
      <family val="1"/>
    </font>
    <font>
      <sz val="32"/>
      <name val="Helvetica-Black"/>
    </font>
    <font>
      <sz val="8"/>
      <color indexed="16"/>
      <name val="Palatino"/>
      <family val="1"/>
    </font>
    <font>
      <sz val="11"/>
      <name val="Arial"/>
      <family val="2"/>
    </font>
    <font>
      <sz val="12"/>
      <name val="Helv"/>
      <family val="2"/>
    </font>
    <font>
      <sz val="10"/>
      <color indexed="12"/>
      <name val="Arial"/>
      <family val="2"/>
    </font>
    <font>
      <b/>
      <sz val="9"/>
      <name val="Times New Roman"/>
      <family val="1"/>
    </font>
    <font>
      <shadow/>
      <sz val="10"/>
      <name val="Times New Roman"/>
      <family val="1"/>
    </font>
    <font>
      <i/>
      <sz val="9"/>
      <color indexed="8"/>
      <name val="Arial"/>
      <family val="2"/>
    </font>
    <font>
      <sz val="1"/>
      <color indexed="8"/>
      <name val="Courier"/>
      <family val="3"/>
    </font>
    <font>
      <sz val="11"/>
      <name val="Times New Roman"/>
      <family val="1"/>
    </font>
    <font>
      <sz val="8"/>
      <color indexed="14"/>
      <name val="Times New Roman"/>
      <family val="1"/>
    </font>
    <font>
      <sz val="10"/>
      <color indexed="8"/>
      <name val="Arial CE"/>
      <charset val="238"/>
    </font>
    <font>
      <b/>
      <sz val="1"/>
      <color indexed="8"/>
      <name val="Courier"/>
      <family val="3"/>
    </font>
    <font>
      <sz val="10"/>
      <color indexed="16"/>
      <name val="MS Serif"/>
      <family val="1"/>
    </font>
    <font>
      <i/>
      <sz val="11"/>
      <color indexed="23"/>
      <name val="Calibri"/>
      <family val="2"/>
    </font>
    <font>
      <b/>
      <u val="singleAccounting"/>
      <sz val="9"/>
      <name val="Times New Roman"/>
      <family val="1"/>
    </font>
    <font>
      <b/>
      <sz val="16"/>
      <name val="Arial"/>
      <family val="2"/>
    </font>
    <font>
      <sz val="12"/>
      <color indexed="24"/>
      <name val="Arial"/>
      <family val="2"/>
    </font>
    <font>
      <b/>
      <sz val="9"/>
      <color indexed="20"/>
      <name val="Arial"/>
      <family val="2"/>
    </font>
    <font>
      <b/>
      <i/>
      <sz val="10"/>
      <name val="Arial"/>
      <family val="2"/>
    </font>
    <font>
      <u/>
      <sz val="10"/>
      <color indexed="12"/>
      <name val="MS Sans Serif"/>
      <family val="2"/>
    </font>
    <font>
      <sz val="6"/>
      <color indexed="23"/>
      <name val="Helvetica-Black"/>
    </font>
    <font>
      <sz val="9.5"/>
      <color indexed="23"/>
      <name val="Helvetica-Black"/>
    </font>
    <font>
      <sz val="7"/>
      <name val="Palatino"/>
      <family val="1"/>
    </font>
    <font>
      <sz val="8"/>
      <color indexed="8"/>
      <name val="Helvetica"/>
      <family val="2"/>
    </font>
    <font>
      <sz val="11"/>
      <color indexed="17"/>
      <name val="Calibri"/>
      <family val="2"/>
    </font>
    <font>
      <i/>
      <sz val="8"/>
      <color indexed="12"/>
      <name val="Times New Roman"/>
      <family val="1"/>
    </font>
    <font>
      <sz val="6"/>
      <color indexed="16"/>
      <name val="Palatino"/>
      <family val="1"/>
    </font>
    <font>
      <sz val="6"/>
      <name val="Palatino"/>
      <family val="1"/>
    </font>
    <font>
      <b/>
      <sz val="8"/>
      <name val="Palatino"/>
      <family val="1"/>
    </font>
    <font>
      <b/>
      <sz val="15"/>
      <color indexed="62"/>
      <name val="Calibri"/>
      <family val="2"/>
    </font>
    <font>
      <sz val="10"/>
      <name val="Helvetica-Black"/>
    </font>
    <font>
      <sz val="28"/>
      <name val="Helvetica-Black"/>
    </font>
    <font>
      <b/>
      <sz val="13"/>
      <color indexed="62"/>
      <name val="Calibri"/>
      <family val="2"/>
    </font>
    <font>
      <sz val="10"/>
      <name val="Palatino"/>
      <family val="1"/>
    </font>
    <font>
      <sz val="18"/>
      <name val="Palatino"/>
      <family val="1"/>
    </font>
    <font>
      <b/>
      <sz val="11"/>
      <color indexed="62"/>
      <name val="Calibri"/>
      <family val="2"/>
    </font>
    <font>
      <i/>
      <sz val="14"/>
      <name val="Palatino"/>
      <family val="1"/>
    </font>
    <font>
      <b/>
      <i/>
      <sz val="20"/>
      <name val="Times New Roman"/>
      <family val="1"/>
    </font>
    <font>
      <b/>
      <sz val="1"/>
      <color indexed="16"/>
      <name val="Courier"/>
      <family val="3"/>
    </font>
    <font>
      <b/>
      <sz val="9"/>
      <name val="Arial"/>
      <family val="2"/>
    </font>
    <font>
      <b/>
      <sz val="7"/>
      <name val="Arial"/>
      <family val="2"/>
    </font>
    <font>
      <b/>
      <sz val="8"/>
      <name val="MS Sans Serif"/>
      <family val="2"/>
    </font>
    <font>
      <sz val="11"/>
      <color indexed="62"/>
      <name val="Calibri"/>
      <family val="2"/>
    </font>
    <font>
      <sz val="12"/>
      <color indexed="12"/>
      <name val="Times New Roman"/>
      <family val="1"/>
    </font>
    <font>
      <sz val="8"/>
      <color indexed="12"/>
      <name val="Palatino"/>
      <family val="1"/>
    </font>
    <font>
      <sz val="1"/>
      <color indexed="9"/>
      <name val="Symbol"/>
      <family val="1"/>
      <charset val="2"/>
    </font>
    <font>
      <b/>
      <sz val="12"/>
      <name val="Helv"/>
      <family val="2"/>
    </font>
    <font>
      <sz val="10"/>
      <color indexed="14"/>
      <name val="Arial"/>
      <family val="2"/>
    </font>
    <font>
      <sz val="11"/>
      <color indexed="52"/>
      <name val="Calibri"/>
      <family val="2"/>
    </font>
    <font>
      <sz val="12"/>
      <name val="MicroBoston"/>
    </font>
    <font>
      <b/>
      <sz val="11"/>
      <name val="Helv"/>
      <family val="2"/>
    </font>
    <font>
      <sz val="9"/>
      <name val="華康細明體"/>
      <family val="3"/>
      <charset val="136"/>
    </font>
    <font>
      <sz val="11"/>
      <color indexed="60"/>
      <name val="Calibri"/>
      <family val="2"/>
    </font>
    <font>
      <b/>
      <u val="singleAccounting"/>
      <sz val="8"/>
      <color indexed="8"/>
      <name val="Verdana"/>
      <family val="2"/>
    </font>
    <font>
      <b/>
      <sz val="12"/>
      <color indexed="8"/>
      <name val="Verdana"/>
      <family val="2"/>
    </font>
    <font>
      <u val="singleAccounting"/>
      <sz val="11"/>
      <name val="Times New Roman"/>
      <family val="1"/>
    </font>
    <font>
      <sz val="10"/>
      <name val="Arial CE"/>
    </font>
    <font>
      <u/>
      <sz val="11"/>
      <name val="Arial"/>
      <family val="2"/>
    </font>
    <font>
      <sz val="8"/>
      <color indexed="18"/>
      <name val="Arial"/>
      <family val="2"/>
    </font>
    <font>
      <b/>
      <i/>
      <sz val="9"/>
      <name val="Arial"/>
      <family val="2"/>
    </font>
    <font>
      <b/>
      <sz val="11"/>
      <color indexed="63"/>
      <name val="Calibri"/>
      <family val="2"/>
    </font>
    <font>
      <sz val="11"/>
      <color indexed="8"/>
      <name val="Times New Roman"/>
      <family val="1"/>
    </font>
    <font>
      <b/>
      <i/>
      <sz val="10"/>
      <color indexed="9"/>
      <name val="Arial"/>
      <family val="2"/>
    </font>
    <font>
      <b/>
      <sz val="11"/>
      <color indexed="16"/>
      <name val="Times New Roman"/>
      <family val="1"/>
    </font>
    <font>
      <b/>
      <sz val="22"/>
      <color indexed="8"/>
      <name val="Times New Roman"/>
      <family val="1"/>
    </font>
    <font>
      <sz val="10"/>
      <color indexed="16"/>
      <name val="Helvetica-Black"/>
    </font>
    <font>
      <sz val="18"/>
      <name val="Helvetica-Black"/>
      <family val="2"/>
    </font>
    <font>
      <sz val="11"/>
      <name val="ＭＳ Ｐゴシック"/>
      <family val="3"/>
      <charset val="128"/>
    </font>
    <font>
      <b/>
      <sz val="8"/>
      <color indexed="10"/>
      <name val="Arial"/>
      <family val="2"/>
    </font>
    <font>
      <sz val="10"/>
      <name val="Arial Narrow"/>
      <family val="2"/>
    </font>
    <font>
      <sz val="8"/>
      <color indexed="10"/>
      <name val="Helv"/>
      <family val="2"/>
    </font>
    <font>
      <b/>
      <sz val="8"/>
      <color indexed="10"/>
      <name val="Times New Roman"/>
      <family val="1"/>
    </font>
    <font>
      <b/>
      <sz val="10"/>
      <name val="SunSans-Demi"/>
    </font>
    <font>
      <sz val="8"/>
      <name val="Wingdings"/>
      <charset val="2"/>
    </font>
    <font>
      <sz val="10"/>
      <name val="Arial Narrow MT"/>
      <family val="2"/>
    </font>
    <font>
      <sz val="7"/>
      <name val="Times New Roman"/>
      <family val="1"/>
    </font>
    <font>
      <sz val="10"/>
      <color indexed="8"/>
      <name val="Times New Roman"/>
      <family val="1"/>
    </font>
    <font>
      <b/>
      <sz val="8"/>
      <color indexed="9"/>
      <name val="Verdana"/>
      <family val="2"/>
    </font>
    <font>
      <b/>
      <sz val="9"/>
      <color indexed="12"/>
      <name val="Times New Roman"/>
      <family val="1"/>
    </font>
    <font>
      <sz val="8"/>
      <name val="Comic Sans MS"/>
      <family val="4"/>
    </font>
    <font>
      <sz val="8"/>
      <name val="MS Sans Serif"/>
      <family val="2"/>
    </font>
    <font>
      <b/>
      <sz val="8"/>
      <color indexed="9"/>
      <name val="Arial"/>
      <family val="2"/>
    </font>
    <font>
      <b/>
      <sz val="8"/>
      <color indexed="8"/>
      <name val="Arial"/>
      <family val="2"/>
    </font>
    <font>
      <sz val="8"/>
      <color indexed="8"/>
      <name val="Arial"/>
      <family val="2"/>
    </font>
    <font>
      <sz val="8"/>
      <color indexed="39"/>
      <name val="Arial"/>
      <family val="2"/>
    </font>
    <font>
      <u/>
      <sz val="8"/>
      <name val="Arial"/>
      <family val="2"/>
    </font>
    <font>
      <i/>
      <sz val="8"/>
      <name val="Arial"/>
      <family val="2"/>
    </font>
    <font>
      <b/>
      <i/>
      <sz val="8"/>
      <name val="Arial"/>
      <family val="2"/>
    </font>
    <font>
      <b/>
      <sz val="12"/>
      <color indexed="8"/>
      <name val="Times New Roman"/>
      <family val="1"/>
    </font>
    <font>
      <b/>
      <sz val="14"/>
      <color indexed="8"/>
      <name val="Arial"/>
      <family val="2"/>
    </font>
    <font>
      <b/>
      <sz val="16"/>
      <name val="Arial                         "/>
    </font>
    <font>
      <b/>
      <sz val="14"/>
      <name val="Arial                         "/>
    </font>
    <font>
      <vertAlign val="subscript"/>
      <sz val="8"/>
      <color indexed="8"/>
      <name val="Arial"/>
      <family val="2"/>
    </font>
    <font>
      <b/>
      <sz val="8"/>
      <color indexed="8"/>
      <name val="Helv"/>
    </font>
    <font>
      <vertAlign val="superscript"/>
      <sz val="8"/>
      <color indexed="8"/>
      <name val="Arial"/>
      <family val="2"/>
    </font>
    <font>
      <sz val="8"/>
      <color indexed="8"/>
      <name val="MS Sans Serif"/>
      <family val="2"/>
    </font>
    <font>
      <b/>
      <sz val="9"/>
      <name val="Palatino"/>
      <family val="1"/>
    </font>
    <font>
      <sz val="9"/>
      <color indexed="21"/>
      <name val="Helvetica-Black"/>
    </font>
    <font>
      <b/>
      <sz val="10"/>
      <name val="Palatino"/>
      <family val="1"/>
    </font>
    <font>
      <sz val="9"/>
      <name val="Helvetica-Black"/>
    </font>
    <font>
      <b/>
      <sz val="10"/>
      <name val="Times New Roman"/>
      <family val="1"/>
    </font>
    <font>
      <sz val="12"/>
      <color indexed="8"/>
      <name val="Palatino"/>
      <family val="1"/>
    </font>
    <font>
      <sz val="11"/>
      <name val="Helvetica-Black"/>
    </font>
    <font>
      <sz val="11"/>
      <color indexed="8"/>
      <name val="Helvetica-Black"/>
    </font>
    <font>
      <sz val="11"/>
      <name val="Helvetica-Black"/>
      <family val="2"/>
    </font>
    <font>
      <i/>
      <sz val="8"/>
      <color indexed="8"/>
      <name val="Arial"/>
      <family val="2"/>
    </font>
    <font>
      <b/>
      <sz val="10"/>
      <color indexed="10"/>
      <name val="Arial"/>
      <family val="2"/>
    </font>
    <font>
      <sz val="12"/>
      <color indexed="13"/>
      <name val="Helv"/>
      <family val="2"/>
    </font>
    <font>
      <b/>
      <sz val="18"/>
      <color indexed="62"/>
      <name val="Cambria"/>
      <family val="2"/>
    </font>
    <font>
      <b/>
      <sz val="13"/>
      <color indexed="8"/>
      <name val="Verdana"/>
      <family val="2"/>
    </font>
    <font>
      <b/>
      <sz val="14"/>
      <name val="Times New Roman"/>
      <family val="1"/>
    </font>
    <font>
      <i/>
      <sz val="10"/>
      <name val="Times New Roman"/>
      <family val="1"/>
    </font>
    <font>
      <u val="double"/>
      <sz val="8"/>
      <color indexed="8"/>
      <name val="Arial"/>
      <family val="2"/>
    </font>
    <font>
      <i/>
      <sz val="10"/>
      <name val="Arial"/>
      <family val="2"/>
    </font>
    <font>
      <b/>
      <sz val="9"/>
      <color indexed="10"/>
      <name val="Wingdings"/>
      <charset val="2"/>
    </font>
    <font>
      <b/>
      <sz val="14"/>
      <color indexed="53"/>
      <name val="Arial"/>
      <family val="2"/>
    </font>
    <font>
      <b/>
      <i/>
      <sz val="8"/>
      <name val="Helv"/>
    </font>
    <font>
      <u/>
      <sz val="9"/>
      <color indexed="12"/>
      <name val="굴림"/>
      <family val="3"/>
      <charset val="255"/>
    </font>
    <font>
      <u/>
      <sz val="9"/>
      <color indexed="36"/>
      <name val="굴림"/>
      <family val="3"/>
      <charset val="255"/>
    </font>
    <font>
      <sz val="12"/>
      <name val="뼻뮝"/>
      <family val="1"/>
      <charset val="129"/>
    </font>
    <font>
      <sz val="11"/>
      <name val="굴림체"/>
      <family val="3"/>
      <charset val="129"/>
    </font>
    <font>
      <sz val="14"/>
      <name val="ＭＳ 明朝"/>
      <family val="1"/>
      <charset val="128"/>
    </font>
    <font>
      <u/>
      <sz val="11"/>
      <color indexed="36"/>
      <name val="ＭＳ Ｐゴシック"/>
      <family val="3"/>
      <charset val="255"/>
    </font>
    <font>
      <u/>
      <sz val="7.8"/>
      <color indexed="12"/>
      <name val="Arial"/>
      <family val="2"/>
    </font>
    <font>
      <u/>
      <sz val="6"/>
      <color indexed="36"/>
      <name val="Arial"/>
      <family val="2"/>
    </font>
    <font>
      <sz val="10"/>
      <name val="Arial"/>
      <family val="2"/>
      <charset val="238"/>
    </font>
    <font>
      <sz val="11"/>
      <color indexed="8"/>
      <name val="맑은 고딕"/>
      <family val="3"/>
      <charset val="129"/>
    </font>
    <font>
      <sz val="11"/>
      <color indexed="9"/>
      <name val="맑은 고딕"/>
      <family val="3"/>
      <charset val="129"/>
    </font>
    <font>
      <u/>
      <sz val="9"/>
      <color indexed="12"/>
      <name val="Arial"/>
      <family val="2"/>
    </font>
    <font>
      <sz val="8"/>
      <name val="Helv"/>
      <family val="2"/>
    </font>
    <font>
      <b/>
      <sz val="8"/>
      <color indexed="8"/>
      <name val="Helv"/>
      <family val="2"/>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8"/>
      <color indexed="56"/>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17"/>
      <name val="맑은 고딕"/>
      <family val="3"/>
      <charset val="129"/>
    </font>
    <font>
      <b/>
      <sz val="11"/>
      <color indexed="63"/>
      <name val="맑은 고딕"/>
      <family val="3"/>
      <charset val="129"/>
    </font>
    <font>
      <sz val="9"/>
      <color indexed="9"/>
      <name val="Calibri"/>
      <family val="2"/>
    </font>
    <font>
      <b/>
      <sz val="9"/>
      <name val="Calibri"/>
      <family val="2"/>
    </font>
    <font>
      <sz val="8"/>
      <color indexed="9"/>
      <name val="Calibri"/>
      <family val="2"/>
    </font>
    <font>
      <sz val="11"/>
      <color theme="1"/>
      <name val="Calibri"/>
      <family val="2"/>
      <charset val="128"/>
      <scheme val="minor"/>
    </font>
    <font>
      <sz val="8"/>
      <name val="Calibri"/>
      <family val="2"/>
      <scheme val="minor"/>
    </font>
    <font>
      <sz val="11"/>
      <name val="Marlett"/>
      <charset val="2"/>
    </font>
    <font>
      <b/>
      <sz val="10"/>
      <color rgb="FFFF0000"/>
      <name val="Calibri"/>
      <family val="2"/>
    </font>
    <font>
      <b/>
      <sz val="10"/>
      <name val="Calibri"/>
      <family val="2"/>
    </font>
    <font>
      <b/>
      <sz val="9"/>
      <color indexed="81"/>
      <name val="Tahoma"/>
      <family val="2"/>
    </font>
    <font>
      <sz val="9"/>
      <color indexed="81"/>
      <name val="Tahoma"/>
      <family val="2"/>
    </font>
    <font>
      <b/>
      <vertAlign val="superscript"/>
      <sz val="9"/>
      <color indexed="81"/>
      <name val="Tahoma"/>
      <family val="2"/>
    </font>
    <font>
      <b/>
      <sz val="8"/>
      <color indexed="81"/>
      <name val="Tahoma"/>
      <family val="2"/>
    </font>
    <font>
      <sz val="8"/>
      <color indexed="81"/>
      <name val="Tahoma"/>
      <family val="2"/>
    </font>
    <font>
      <b/>
      <sz val="14"/>
      <color theme="1"/>
      <name val="Calibri"/>
      <family val="2"/>
      <scheme val="minor"/>
    </font>
    <font>
      <b/>
      <sz val="12"/>
      <color theme="1"/>
      <name val="Calibri"/>
      <family val="2"/>
      <scheme val="minor"/>
    </font>
    <font>
      <b/>
      <sz val="12"/>
      <color rgb="FF000000"/>
      <name val="Calibri"/>
      <family val="2"/>
    </font>
    <font>
      <b/>
      <sz val="11"/>
      <color rgb="FF000000"/>
      <name val="Calibri"/>
      <family val="2"/>
    </font>
    <font>
      <b/>
      <sz val="11"/>
      <color theme="9" tint="-0.249977111117893"/>
      <name val="Calibri"/>
      <family val="2"/>
      <scheme val="minor"/>
    </font>
    <font>
      <b/>
      <sz val="11"/>
      <color theme="9" tint="-0.249977111117893"/>
      <name val="Calibri"/>
      <family val="2"/>
    </font>
    <font>
      <sz val="11"/>
      <color theme="9" tint="-0.249977111117893"/>
      <name val="Calibri"/>
      <family val="2"/>
    </font>
    <font>
      <sz val="11"/>
      <name val="Calibri"/>
      <family val="2"/>
    </font>
    <font>
      <sz val="11"/>
      <color rgb="FF000000"/>
      <name val="Calibri"/>
      <family val="2"/>
    </font>
    <font>
      <b/>
      <sz val="11"/>
      <name val="Calibri"/>
      <family val="2"/>
    </font>
  </fonts>
  <fills count="111">
    <fill>
      <patternFill patternType="none"/>
    </fill>
    <fill>
      <patternFill patternType="gray125"/>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13"/>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6"/>
        <bgColor indexed="64"/>
      </patternFill>
    </fill>
    <fill>
      <patternFill patternType="solid">
        <fgColor theme="4"/>
        <bgColor indexed="64"/>
      </patternFill>
    </fill>
    <fill>
      <patternFill patternType="solid">
        <fgColor rgb="FFFFFF00"/>
        <bgColor indexed="64"/>
      </patternFill>
    </fill>
    <fill>
      <patternFill patternType="solid">
        <fgColor theme="8" tint="0.59999389629810485"/>
        <bgColor indexed="64"/>
      </patternFill>
    </fill>
    <fill>
      <patternFill patternType="solid">
        <fgColor indexed="43"/>
      </patternFill>
    </fill>
    <fill>
      <patternFill patternType="solid">
        <fgColor indexed="44"/>
        <bgColor indexed="22"/>
      </patternFill>
    </fill>
    <fill>
      <patternFill patternType="solid">
        <fgColor indexed="47"/>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27"/>
      </patternFill>
    </fill>
    <fill>
      <patternFill patternType="solid">
        <fgColor indexed="44"/>
      </patternFill>
    </fill>
    <fill>
      <patternFill patternType="solid">
        <fgColor indexed="22"/>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27"/>
        <bgColor indexed="64"/>
      </patternFill>
    </fill>
    <fill>
      <patternFill patternType="solid">
        <fgColor indexed="26"/>
        <bgColor indexed="64"/>
      </patternFill>
    </fill>
    <fill>
      <patternFill patternType="solid">
        <fgColor indexed="23"/>
        <bgColor indexed="64"/>
      </patternFill>
    </fill>
    <fill>
      <patternFill patternType="solid">
        <fgColor indexed="9"/>
      </patternFill>
    </fill>
    <fill>
      <patternFill patternType="solid">
        <fgColor indexed="55"/>
      </patternFill>
    </fill>
    <fill>
      <patternFill patternType="solid">
        <fgColor indexed="60"/>
        <bgColor indexed="64"/>
      </patternFill>
    </fill>
    <fill>
      <patternFill patternType="gray0625">
        <fgColor indexed="13"/>
        <bgColor indexed="9"/>
      </patternFill>
    </fill>
    <fill>
      <patternFill patternType="solid">
        <fgColor indexed="16"/>
        <bgColor indexed="64"/>
      </patternFill>
    </fill>
    <fill>
      <patternFill patternType="solid">
        <fgColor indexed="9"/>
        <bgColor indexed="9"/>
      </patternFill>
    </fill>
    <fill>
      <patternFill patternType="solid">
        <fgColor indexed="13"/>
      </patternFill>
    </fill>
    <fill>
      <patternFill patternType="solid">
        <fgColor indexed="62"/>
        <bgColor indexed="64"/>
      </patternFill>
    </fill>
    <fill>
      <patternFill patternType="solid">
        <fgColor indexed="63"/>
        <bgColor indexed="64"/>
      </patternFill>
    </fill>
    <fill>
      <patternFill patternType="solid">
        <fgColor indexed="9"/>
        <bgColor indexed="64"/>
      </patternFill>
    </fill>
    <fill>
      <patternFill patternType="solid">
        <fgColor indexed="54"/>
        <bgColor indexed="64"/>
      </patternFill>
    </fill>
    <fill>
      <patternFill patternType="solid">
        <fgColor indexed="30"/>
        <bgColor indexed="64"/>
      </patternFill>
    </fill>
    <fill>
      <patternFill patternType="mediumGray">
        <fgColor indexed="22"/>
      </patternFill>
    </fill>
    <fill>
      <patternFill patternType="solid">
        <fgColor indexed="30"/>
        <bgColor indexed="21"/>
      </patternFill>
    </fill>
    <fill>
      <patternFill patternType="darkVertical"/>
    </fill>
    <fill>
      <patternFill patternType="solid">
        <fgColor indexed="56"/>
        <bgColor indexed="64"/>
      </patternFill>
    </fill>
    <fill>
      <patternFill patternType="solid">
        <fgColor indexed="21"/>
        <bgColor indexed="64"/>
      </patternFill>
    </fill>
    <fill>
      <patternFill patternType="gray125">
        <fgColor indexed="22"/>
      </patternFill>
    </fill>
    <fill>
      <patternFill patternType="solid">
        <fgColor indexed="15"/>
        <bgColor indexed="64"/>
      </patternFill>
    </fill>
    <fill>
      <patternFill patternType="solid">
        <fgColor indexed="8"/>
      </patternFill>
    </fill>
    <fill>
      <patternFill patternType="solid">
        <fgColor indexed="8"/>
        <bgColor indexed="64"/>
      </patternFill>
    </fill>
    <fill>
      <patternFill patternType="solid">
        <fgColor indexed="12"/>
      </patternFill>
    </fill>
    <fill>
      <patternFill patternType="solid">
        <fgColor indexed="21"/>
      </patternFill>
    </fill>
    <fill>
      <patternFill patternType="lightGray"/>
    </fill>
    <fill>
      <patternFill patternType="solid">
        <fgColor theme="6"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2" tint="-0.499984740745262"/>
        <bgColor indexed="64"/>
      </patternFill>
    </fill>
    <fill>
      <patternFill patternType="solid">
        <fgColor indexed="31"/>
      </patternFill>
    </fill>
    <fill>
      <patternFill patternType="solid">
        <fgColor indexed="46"/>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rgb="FF00B050"/>
        <bgColor indexed="64"/>
      </patternFill>
    </fill>
    <fill>
      <patternFill patternType="solid">
        <fgColor theme="2" tint="-9.9978637043366805E-2"/>
        <bgColor indexed="64"/>
      </patternFill>
    </fill>
    <fill>
      <patternFill patternType="solid">
        <fgColor theme="1" tint="0.34998626667073579"/>
        <bgColor indexed="64"/>
      </patternFill>
    </fill>
    <fill>
      <patternFill patternType="solid">
        <fgColor theme="3" tint="0.79995117038483843"/>
        <bgColor indexed="64"/>
      </patternFill>
    </fill>
    <fill>
      <patternFill patternType="solid">
        <fgColor theme="4" tint="0.79998168889431442"/>
        <bgColor theme="4" tint="0.79998168889431442"/>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rgb="FFF2F2F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right/>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thin">
        <color indexed="64"/>
      </left>
      <right style="dashed">
        <color indexed="64"/>
      </right>
      <top/>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medium">
        <color indexed="30"/>
      </bottom>
      <diagonal/>
    </border>
    <border>
      <left/>
      <right style="hair">
        <color indexed="64"/>
      </right>
      <top/>
      <bottom/>
      <diagonal/>
    </border>
    <border>
      <left/>
      <right/>
      <top style="thin">
        <color indexed="64"/>
      </top>
      <bottom/>
      <diagonal/>
    </border>
    <border>
      <left/>
      <right/>
      <top/>
      <bottom style="thin">
        <color indexed="44"/>
      </bottom>
      <diagonal/>
    </border>
    <border>
      <left/>
      <right/>
      <top style="thin">
        <color indexed="8"/>
      </top>
      <bottom/>
      <diagonal/>
    </border>
    <border>
      <left/>
      <right/>
      <top/>
      <bottom style="thick">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style="double">
        <color indexed="63"/>
      </left>
      <right style="double">
        <color indexed="63"/>
      </right>
      <top style="double">
        <color indexed="63"/>
      </top>
      <bottom style="double">
        <color indexed="63"/>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21"/>
      </left>
      <right style="thin">
        <color indexed="21"/>
      </right>
      <top style="thin">
        <color indexed="21"/>
      </top>
      <bottom style="thin">
        <color indexed="21"/>
      </bottom>
      <diagonal/>
    </border>
    <border>
      <left/>
      <right/>
      <top style="double">
        <color indexed="64"/>
      </top>
      <bottom style="double">
        <color indexed="64"/>
      </bottom>
      <diagonal/>
    </border>
    <border>
      <left/>
      <right/>
      <top/>
      <bottom style="double">
        <color indexed="64"/>
      </bottom>
      <diagonal/>
    </border>
    <border>
      <left/>
      <right/>
      <top/>
      <bottom style="dotted">
        <color indexed="64"/>
      </bottom>
      <diagonal/>
    </border>
    <border>
      <left style="hair">
        <color indexed="64"/>
      </left>
      <right style="hair">
        <color indexed="64"/>
      </right>
      <top style="hair">
        <color indexed="64"/>
      </top>
      <bottom style="hair">
        <color indexed="64"/>
      </bottom>
      <diagonal/>
    </border>
    <border>
      <left style="thin">
        <color indexed="9"/>
      </left>
      <right style="thin">
        <color indexed="9"/>
      </right>
      <top style="thin">
        <color indexed="9"/>
      </top>
      <bottom style="thin">
        <color indexed="9"/>
      </bottom>
      <diagonal/>
    </border>
    <border>
      <left style="medium">
        <color indexed="10"/>
      </left>
      <right style="medium">
        <color indexed="10"/>
      </right>
      <top style="hair">
        <color indexed="10"/>
      </top>
      <bottom style="hair">
        <color indexed="10"/>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8"/>
      </left>
      <right/>
      <top/>
      <bottom/>
      <diagonal/>
    </border>
    <border>
      <left/>
      <right/>
      <top/>
      <bottom style="double">
        <color indexed="52"/>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mediumDashDotDot">
        <color indexed="37"/>
      </left>
      <right style="mediumDashDotDot">
        <color indexed="37"/>
      </right>
      <top style="mediumDashDotDot">
        <color indexed="37"/>
      </top>
      <bottom style="mediumDashDotDot">
        <color indexed="37"/>
      </bottom>
      <diagonal/>
    </border>
    <border>
      <left/>
      <right/>
      <top style="medium">
        <color indexed="23"/>
      </top>
      <bottom style="medium">
        <color indexed="23"/>
      </bottom>
      <diagonal/>
    </border>
    <border>
      <left style="thin">
        <color indexed="22"/>
      </left>
      <right style="thin">
        <color indexed="61"/>
      </right>
      <top style="thin">
        <color indexed="22"/>
      </top>
      <bottom style="thin">
        <color indexed="61"/>
      </bottom>
      <diagonal/>
    </border>
    <border>
      <left style="thin">
        <color indexed="64"/>
      </left>
      <right/>
      <top style="thin">
        <color indexed="64"/>
      </top>
      <bottom/>
      <diagonal/>
    </border>
    <border>
      <left/>
      <right/>
      <top style="thin">
        <color indexed="49"/>
      </top>
      <bottom style="double">
        <color indexed="49"/>
      </bottom>
      <diagonal/>
    </border>
    <border>
      <left/>
      <right/>
      <top style="double">
        <color indexed="8"/>
      </top>
      <bottom/>
      <diagonal/>
    </border>
    <border>
      <left style="thin">
        <color indexed="8"/>
      </left>
      <right style="thin">
        <color indexed="8"/>
      </right>
      <top style="double">
        <color indexed="8"/>
      </top>
      <bottom style="thin">
        <color indexed="8"/>
      </bottom>
      <diagonal/>
    </border>
    <border>
      <left style="medium">
        <color indexed="9"/>
      </left>
      <right style="medium">
        <color indexed="49"/>
      </right>
      <top/>
      <bottom/>
      <diagonal/>
    </border>
    <border>
      <left style="medium">
        <color auto="1"/>
      </left>
      <right/>
      <top/>
      <bottom/>
      <diagonal/>
    </border>
    <border>
      <left style="medium">
        <color auto="1"/>
      </left>
      <right style="thin">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medium">
        <color auto="1"/>
      </left>
      <right style="thin">
        <color indexed="64"/>
      </right>
      <top style="medium">
        <color indexed="64"/>
      </top>
      <bottom/>
      <diagonal/>
    </border>
    <border>
      <left style="thin">
        <color indexed="64"/>
      </left>
      <right/>
      <top style="medium">
        <color indexed="64"/>
      </top>
      <bottom/>
      <diagonal/>
    </border>
    <border>
      <left/>
      <right/>
      <top/>
      <bottom style="thick">
        <color indexed="62"/>
      </bottom>
      <diagonal/>
    </border>
    <border>
      <left/>
      <right/>
      <top style="thin">
        <color indexed="62"/>
      </top>
      <bottom style="double">
        <color indexed="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auto="1"/>
      </left>
      <right style="thin">
        <color indexed="64"/>
      </right>
      <top/>
      <bottom style="thin">
        <color indexed="64"/>
      </bottom>
      <diagonal/>
    </border>
    <border>
      <left style="thin">
        <color indexed="64"/>
      </left>
      <right style="medium">
        <color auto="1"/>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100">
    <xf numFmtId="0" fontId="0" fillId="0" borderId="0"/>
    <xf numFmtId="0" fontId="2" fillId="0" borderId="0"/>
    <xf numFmtId="44" fontId="3" fillId="0" borderId="0" applyFont="0" applyFill="0" applyBorder="0" applyAlignment="0" applyProtection="0"/>
    <xf numFmtId="0" fontId="30" fillId="0" borderId="0" applyNumberFormat="0" applyFill="0" applyBorder="0" applyAlignment="0" applyProtection="0">
      <alignment vertical="top"/>
      <protection locked="0"/>
    </xf>
    <xf numFmtId="0" fontId="25" fillId="0" borderId="0"/>
    <xf numFmtId="0" fontId="25" fillId="0" borderId="0"/>
    <xf numFmtId="0" fontId="25" fillId="0" borderId="0"/>
    <xf numFmtId="0" fontId="25" fillId="0" borderId="0"/>
    <xf numFmtId="169" fontId="37" fillId="0" borderId="0"/>
    <xf numFmtId="170" fontId="25" fillId="0" borderId="30" applyFill="0" applyBorder="0"/>
    <xf numFmtId="170" fontId="25" fillId="0" borderId="30" applyFill="0" applyBorder="0"/>
    <xf numFmtId="170" fontId="25" fillId="0" borderId="30" applyFill="0" applyBorder="0"/>
    <xf numFmtId="170" fontId="25" fillId="0" borderId="30" applyFill="0" applyBorder="0"/>
    <xf numFmtId="171" fontId="25" fillId="0" borderId="17" applyFill="0" applyBorder="0"/>
    <xf numFmtId="171" fontId="25" fillId="0" borderId="17" applyFill="0" applyBorder="0"/>
    <xf numFmtId="171" fontId="25" fillId="0" borderId="17" applyFill="0" applyBorder="0"/>
    <xf numFmtId="171" fontId="25" fillId="0" borderId="17" applyFill="0" applyBorder="0"/>
    <xf numFmtId="0" fontId="38" fillId="0" borderId="0"/>
    <xf numFmtId="172" fontId="25" fillId="0" borderId="0" applyFont="0" applyFill="0" applyBorder="0" applyAlignment="0" applyProtection="0"/>
    <xf numFmtId="173" fontId="37" fillId="0" borderId="0">
      <alignment horizontal="left"/>
    </xf>
    <xf numFmtId="174" fontId="39" fillId="0" borderId="0" applyFont="0" applyFill="0" applyBorder="0" applyAlignment="0" applyProtection="0"/>
    <xf numFmtId="173" fontId="37" fillId="0" borderId="0">
      <alignment horizontal="left"/>
    </xf>
    <xf numFmtId="169" fontId="37" fillId="0" borderId="0">
      <alignment horizontal="left"/>
    </xf>
    <xf numFmtId="0" fontId="40" fillId="0" borderId="0"/>
    <xf numFmtId="175" fontId="25" fillId="0" borderId="0">
      <alignment horizontal="center"/>
    </xf>
    <xf numFmtId="0" fontId="41" fillId="0" borderId="0" applyFont="0" applyFill="0" applyBorder="0" applyAlignment="0"/>
    <xf numFmtId="44" fontId="25" fillId="0" borderId="0" applyFont="0" applyFill="0" applyBorder="0" applyAlignment="0" applyProtection="0"/>
    <xf numFmtId="42" fontId="25" fillId="0" borderId="0" applyFont="0" applyFill="0" applyBorder="0" applyAlignment="0" applyProtection="0"/>
    <xf numFmtId="41" fontId="25" fillId="0" borderId="0" applyFont="0" applyFill="0" applyBorder="0" applyAlignment="0" applyProtection="0"/>
    <xf numFmtId="43" fontId="25" fillId="0" borderId="0" applyFont="0" applyFill="0" applyBorder="0" applyAlignment="0" applyProtection="0"/>
    <xf numFmtId="44" fontId="25" fillId="0" borderId="0" applyFont="0" applyFill="0" applyBorder="0" applyAlignment="0" applyProtection="0"/>
    <xf numFmtId="0" fontId="40" fillId="0" borderId="0"/>
    <xf numFmtId="176" fontId="42" fillId="0" borderId="0" applyFont="0" applyFill="0" applyBorder="0" applyAlignment="0" applyProtection="0"/>
    <xf numFmtId="177" fontId="43" fillId="0" borderId="0" applyFill="0" applyBorder="0" applyAlignment="0" applyProtection="0"/>
    <xf numFmtId="178" fontId="42" fillId="0" borderId="0" applyFont="0" applyFill="0" applyBorder="0" applyAlignment="0" applyProtection="0"/>
    <xf numFmtId="178" fontId="43" fillId="0" borderId="0" applyFill="0" applyBorder="0" applyAlignment="0" applyProtection="0"/>
    <xf numFmtId="0" fontId="2" fillId="0" borderId="0"/>
    <xf numFmtId="0" fontId="44" fillId="0" borderId="0"/>
    <xf numFmtId="0" fontId="2" fillId="0" borderId="0"/>
    <xf numFmtId="0" fontId="2" fillId="0" borderId="0"/>
    <xf numFmtId="0" fontId="2" fillId="0" borderId="0"/>
    <xf numFmtId="0" fontId="44"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2" fillId="0" borderId="0"/>
    <xf numFmtId="0" fontId="44" fillId="0" borderId="0"/>
    <xf numFmtId="0" fontId="44" fillId="0" borderId="0"/>
    <xf numFmtId="0" fontId="2" fillId="0" borderId="0"/>
    <xf numFmtId="0" fontId="2" fillId="0" borderId="0"/>
    <xf numFmtId="0" fontId="2" fillId="0" borderId="0"/>
    <xf numFmtId="0" fontId="45" fillId="0" borderId="0"/>
    <xf numFmtId="0" fontId="46" fillId="0" borderId="0" applyNumberFormat="0" applyFill="0" applyBorder="0" applyAlignment="0" applyProtection="0"/>
    <xf numFmtId="0" fontId="46" fillId="0" borderId="0" applyNumberFormat="0" applyFill="0" applyBorder="0" applyAlignment="0" applyProtection="0"/>
    <xf numFmtId="0" fontId="44" fillId="0" borderId="0"/>
    <xf numFmtId="0" fontId="44" fillId="0" borderId="0"/>
    <xf numFmtId="0" fontId="2" fillId="0" borderId="0"/>
    <xf numFmtId="0" fontId="25" fillId="0" borderId="0" applyNumberFormat="0" applyFill="0" applyBorder="0" applyAlignment="0" applyProtection="0"/>
    <xf numFmtId="0" fontId="25" fillId="0" borderId="0"/>
    <xf numFmtId="0" fontId="2" fillId="0" borderId="0"/>
    <xf numFmtId="0" fontId="2" fillId="0" borderId="0"/>
    <xf numFmtId="0" fontId="2" fillId="0" borderId="0"/>
    <xf numFmtId="0" fontId="44" fillId="0" borderId="0"/>
    <xf numFmtId="0" fontId="2"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2" fillId="0" borderId="0"/>
    <xf numFmtId="0" fontId="2" fillId="0" borderId="0"/>
    <xf numFmtId="0" fontId="2" fillId="0" borderId="0"/>
    <xf numFmtId="0" fontId="2" fillId="0" borderId="0"/>
    <xf numFmtId="0" fontId="2" fillId="0" borderId="0"/>
    <xf numFmtId="0" fontId="25" fillId="0" borderId="0"/>
    <xf numFmtId="0" fontId="44" fillId="0" borderId="0"/>
    <xf numFmtId="0" fontId="2" fillId="0" borderId="0"/>
    <xf numFmtId="0" fontId="25" fillId="0" borderId="0"/>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5" fillId="0" borderId="0">
      <alignment vertical="top"/>
    </xf>
    <xf numFmtId="0" fontId="2" fillId="0" borderId="0"/>
    <xf numFmtId="0" fontId="44" fillId="0" borderId="0"/>
    <xf numFmtId="0" fontId="44" fillId="0" borderId="0"/>
    <xf numFmtId="0" fontId="44" fillId="0" borderId="0"/>
    <xf numFmtId="0" fontId="2"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2" fillId="0" borderId="0"/>
    <xf numFmtId="0" fontId="25" fillId="0" borderId="0">
      <alignment vertical="top"/>
    </xf>
    <xf numFmtId="0" fontId="44" fillId="0" borderId="0"/>
    <xf numFmtId="0" fontId="2" fillId="0" borderId="0"/>
    <xf numFmtId="0" fontId="25"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5" fillId="0" borderId="0"/>
    <xf numFmtId="0" fontId="25" fillId="0" borderId="0"/>
    <xf numFmtId="0" fontId="25" fillId="0" borderId="0"/>
    <xf numFmtId="0" fontId="2" fillId="0" borderId="0"/>
    <xf numFmtId="0" fontId="27" fillId="0" borderId="0">
      <alignment vertical="top"/>
    </xf>
    <xf numFmtId="0" fontId="25" fillId="0" borderId="0"/>
    <xf numFmtId="0" fontId="2" fillId="0" borderId="0"/>
    <xf numFmtId="41" fontId="25" fillId="0" borderId="0" applyFont="0" applyFill="0" applyBorder="0" applyAlignment="0" applyProtection="0"/>
    <xf numFmtId="179" fontId="25" fillId="0" borderId="0" applyFont="0" applyFill="0" applyBorder="0" applyAlignment="0" applyProtection="0"/>
    <xf numFmtId="0" fontId="44" fillId="0" borderId="0"/>
    <xf numFmtId="0" fontId="2" fillId="0" borderId="0"/>
    <xf numFmtId="0" fontId="25" fillId="0" borderId="0"/>
    <xf numFmtId="41" fontId="25" fillId="0" borderId="0" applyFont="0" applyFill="0" applyBorder="0" applyAlignment="0" applyProtection="0"/>
    <xf numFmtId="41" fontId="25" fillId="0" borderId="0" applyFont="0" applyFill="0" applyBorder="0" applyAlignment="0" applyProtection="0"/>
    <xf numFmtId="179" fontId="25" fillId="0" borderId="0" applyFont="0" applyFill="0" applyBorder="0" applyAlignment="0" applyProtection="0"/>
    <xf numFmtId="41" fontId="25" fillId="0" borderId="0" applyFont="0" applyFill="0" applyBorder="0" applyAlignment="0" applyProtection="0"/>
    <xf numFmtId="179" fontId="25" fillId="0" borderId="0" applyFont="0" applyFill="0" applyBorder="0" applyAlignment="0" applyProtection="0"/>
    <xf numFmtId="179" fontId="25" fillId="0" borderId="0" applyFont="0" applyFill="0" applyBorder="0" applyAlignment="0" applyProtection="0"/>
    <xf numFmtId="0" fontId="2" fillId="0" borderId="0"/>
    <xf numFmtId="180" fontId="42" fillId="0" borderId="0" applyFont="0" applyFill="0" applyBorder="0" applyAlignment="0" applyProtection="0"/>
    <xf numFmtId="180" fontId="43" fillId="0" borderId="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2" fillId="0" borderId="0"/>
    <xf numFmtId="0" fontId="25" fillId="0" borderId="0"/>
    <xf numFmtId="0" fontId="2" fillId="0" borderId="0"/>
    <xf numFmtId="0" fontId="45" fillId="0" borderId="0"/>
    <xf numFmtId="0" fontId="2" fillId="0" borderId="0"/>
    <xf numFmtId="0" fontId="2" fillId="0" borderId="0"/>
    <xf numFmtId="0" fontId="44" fillId="0" borderId="0"/>
    <xf numFmtId="0" fontId="2" fillId="0" borderId="0"/>
    <xf numFmtId="0" fontId="44" fillId="0" borderId="0"/>
    <xf numFmtId="0" fontId="44" fillId="0" borderId="0"/>
    <xf numFmtId="0" fontId="2" fillId="0" borderId="0"/>
    <xf numFmtId="181" fontId="25" fillId="0" borderId="0" applyFont="0" applyFill="0" applyBorder="0" applyAlignment="0" applyProtection="0"/>
    <xf numFmtId="182" fontId="43" fillId="0" borderId="0" applyFill="0" applyBorder="0" applyAlignment="0" applyProtection="0"/>
    <xf numFmtId="183" fontId="25" fillId="0" borderId="0" applyFont="0" applyFill="0" applyBorder="0" applyAlignment="0" applyProtection="0"/>
    <xf numFmtId="184" fontId="43" fillId="0" borderId="0" applyFont="0" applyFill="0" applyBorder="0" applyAlignment="0" applyProtection="0"/>
    <xf numFmtId="185" fontId="42" fillId="0" borderId="0" applyFont="0" applyFill="0" applyBorder="0" applyAlignment="0" applyProtection="0"/>
    <xf numFmtId="185" fontId="43" fillId="0" borderId="0" applyFill="0" applyBorder="0" applyAlignment="0" applyProtection="0"/>
    <xf numFmtId="0" fontId="2"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2" fillId="0" borderId="0"/>
    <xf numFmtId="0" fontId="44" fillId="0" borderId="0"/>
    <xf numFmtId="0" fontId="2" fillId="0" borderId="0"/>
    <xf numFmtId="0" fontId="44" fillId="0" borderId="0"/>
    <xf numFmtId="0" fontId="2" fillId="0" borderId="0"/>
    <xf numFmtId="0" fontId="2" fillId="0" borderId="0"/>
    <xf numFmtId="0" fontId="44" fillId="0" borderId="0"/>
    <xf numFmtId="0" fontId="44" fillId="0" borderId="0"/>
    <xf numFmtId="0" fontId="2" fillId="0" borderId="0"/>
    <xf numFmtId="0" fontId="45" fillId="0" borderId="0"/>
    <xf numFmtId="0" fontId="44" fillId="0" borderId="0"/>
    <xf numFmtId="0" fontId="2" fillId="0" borderId="0"/>
    <xf numFmtId="0" fontId="2" fillId="0" borderId="0"/>
    <xf numFmtId="0" fontId="2" fillId="0" borderId="0"/>
    <xf numFmtId="0" fontId="2" fillId="0" borderId="0"/>
    <xf numFmtId="0" fontId="44" fillId="0" borderId="0"/>
    <xf numFmtId="0" fontId="2" fillId="0" borderId="0"/>
    <xf numFmtId="186"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6"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6" fontId="42" fillId="0" borderId="0" applyFont="0" applyFill="0" applyBorder="0" applyAlignment="0" applyProtection="0"/>
    <xf numFmtId="186"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6"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6" fontId="42" fillId="0" borderId="0" applyFont="0" applyFill="0" applyBorder="0" applyAlignment="0" applyProtection="0"/>
    <xf numFmtId="186"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6"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6" fontId="42" fillId="0" borderId="0" applyFont="0" applyFill="0" applyBorder="0" applyAlignment="0" applyProtection="0"/>
    <xf numFmtId="188" fontId="43" fillId="0" borderId="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187" fontId="42" fillId="0" borderId="0" applyFont="0" applyFill="0" applyBorder="0" applyAlignment="0" applyProtection="0"/>
    <xf numFmtId="0" fontId="44" fillId="0" borderId="0"/>
    <xf numFmtId="0" fontId="27" fillId="0" borderId="0">
      <alignment vertical="top"/>
    </xf>
    <xf numFmtId="0" fontId="27" fillId="0" borderId="0">
      <alignment vertical="top"/>
    </xf>
    <xf numFmtId="0" fontId="44"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44" fillId="0" borderId="0"/>
    <xf numFmtId="0" fontId="2" fillId="0" borderId="0"/>
    <xf numFmtId="0" fontId="2" fillId="0" borderId="0"/>
    <xf numFmtId="0" fontId="25" fillId="0" borderId="0">
      <alignment vertical="top"/>
    </xf>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7" fillId="0" borderId="0">
      <alignment vertical="top"/>
    </xf>
    <xf numFmtId="0" fontId="25" fillId="0" borderId="0"/>
    <xf numFmtId="0" fontId="2" fillId="0" borderId="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2" fillId="44" borderId="0" applyNumberFormat="0" applyFont="0" applyAlignment="0" applyProtection="0"/>
    <xf numFmtId="0" fontId="43" fillId="45" borderId="0" applyNumberFormat="0" applyAlignment="0" applyProtection="0"/>
    <xf numFmtId="0" fontId="2" fillId="0" borderId="0"/>
    <xf numFmtId="0" fontId="25" fillId="0" borderId="0"/>
    <xf numFmtId="0" fontId="2" fillId="0" borderId="0"/>
    <xf numFmtId="0" fontId="2" fillId="0" borderId="0"/>
    <xf numFmtId="0" fontId="27" fillId="0" borderId="0">
      <alignment vertical="top"/>
    </xf>
    <xf numFmtId="0" fontId="27" fillId="0" borderId="0">
      <alignment vertical="top"/>
    </xf>
    <xf numFmtId="0" fontId="44" fillId="0" borderId="0"/>
    <xf numFmtId="0" fontId="2" fillId="0" borderId="0"/>
    <xf numFmtId="0" fontId="25" fillId="0" borderId="0"/>
    <xf numFmtId="0" fontId="25" fillId="0" borderId="0"/>
    <xf numFmtId="0" fontId="2" fillId="0" borderId="0"/>
    <xf numFmtId="0" fontId="44" fillId="0" borderId="0"/>
    <xf numFmtId="0" fontId="2" fillId="0" borderId="0"/>
    <xf numFmtId="0" fontId="44" fillId="0" borderId="0"/>
    <xf numFmtId="0" fontId="2" fillId="0" borderId="0"/>
    <xf numFmtId="0" fontId="25" fillId="0" borderId="0">
      <alignment vertical="top"/>
    </xf>
    <xf numFmtId="0" fontId="2" fillId="0" borderId="0"/>
    <xf numFmtId="0" fontId="44" fillId="0" borderId="0"/>
    <xf numFmtId="0" fontId="2" fillId="0" borderId="0"/>
    <xf numFmtId="0" fontId="44" fillId="0" borderId="0"/>
    <xf numFmtId="0" fontId="2" fillId="0" borderId="0"/>
    <xf numFmtId="0" fontId="27" fillId="0" borderId="0">
      <alignment vertical="top"/>
    </xf>
    <xf numFmtId="0" fontId="44" fillId="0" borderId="0"/>
    <xf numFmtId="0" fontId="2" fillId="0" borderId="0"/>
    <xf numFmtId="0" fontId="2" fillId="0" borderId="0"/>
    <xf numFmtId="0" fontId="44" fillId="0" borderId="0"/>
    <xf numFmtId="0" fontId="2" fillId="0" borderId="0"/>
    <xf numFmtId="0" fontId="44" fillId="0" borderId="0"/>
    <xf numFmtId="0" fontId="2" fillId="0" borderId="0"/>
    <xf numFmtId="0" fontId="44" fillId="0" borderId="0"/>
    <xf numFmtId="0" fontId="44" fillId="0" borderId="0"/>
    <xf numFmtId="41" fontId="25" fillId="0" borderId="0" applyFont="0" applyFill="0" applyBorder="0" applyAlignment="0" applyProtection="0"/>
    <xf numFmtId="179" fontId="25" fillId="0" borderId="0" applyFont="0" applyFill="0" applyBorder="0" applyAlignment="0" applyProtection="0"/>
    <xf numFmtId="41" fontId="25" fillId="0" borderId="0" applyFont="0" applyFill="0" applyBorder="0" applyAlignment="0" applyProtection="0"/>
    <xf numFmtId="179" fontId="25" fillId="0" borderId="0" applyFont="0" applyFill="0" applyBorder="0" applyAlignment="0" applyProtection="0"/>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0" fontId="27" fillId="0" borderId="0">
      <alignment vertical="top"/>
    </xf>
    <xf numFmtId="189" fontId="49" fillId="0" borderId="0"/>
    <xf numFmtId="0" fontId="44" fillId="0" borderId="0"/>
    <xf numFmtId="0" fontId="2" fillId="0" borderId="0"/>
    <xf numFmtId="0" fontId="44" fillId="0" borderId="0"/>
    <xf numFmtId="0" fontId="2" fillId="0" borderId="0"/>
    <xf numFmtId="0" fontId="44" fillId="0" borderId="0"/>
    <xf numFmtId="0" fontId="2" fillId="0" borderId="0"/>
    <xf numFmtId="0" fontId="46" fillId="0" borderId="0" applyNumberFormat="0" applyFill="0" applyBorder="0" applyAlignment="0" applyProtection="0"/>
    <xf numFmtId="0" fontId="44" fillId="0" borderId="0"/>
    <xf numFmtId="0" fontId="2" fillId="0" borderId="0"/>
    <xf numFmtId="0" fontId="25" fillId="0" borderId="0"/>
    <xf numFmtId="0" fontId="2" fillId="0" borderId="0"/>
    <xf numFmtId="0" fontId="2" fillId="0" borderId="0"/>
    <xf numFmtId="0" fontId="25" fillId="0" borderId="0"/>
    <xf numFmtId="0" fontId="2" fillId="0" borderId="0"/>
    <xf numFmtId="0" fontId="25" fillId="0" borderId="0"/>
    <xf numFmtId="0" fontId="44" fillId="0" borderId="0"/>
    <xf numFmtId="190" fontId="42" fillId="0" borderId="0" applyFont="0" applyFill="0" applyBorder="0" applyAlignment="0" applyProtection="0"/>
    <xf numFmtId="190" fontId="42" fillId="0" borderId="0" applyFont="0" applyFill="0" applyBorder="0" applyAlignment="0" applyProtection="0"/>
    <xf numFmtId="191" fontId="25" fillId="0" borderId="0" applyFont="0" applyFill="0" applyBorder="0" applyAlignment="0" applyProtection="0"/>
    <xf numFmtId="192" fontId="43" fillId="0" borderId="0" applyFill="0" applyBorder="0" applyAlignment="0" applyProtection="0"/>
    <xf numFmtId="190" fontId="25" fillId="0" borderId="0" applyFont="0" applyFill="0" applyBorder="0" applyAlignment="0" applyProtection="0"/>
    <xf numFmtId="193" fontId="42" fillId="0" borderId="0" applyFont="0" applyFill="0" applyBorder="0" applyProtection="0">
      <alignment horizontal="right"/>
    </xf>
    <xf numFmtId="193" fontId="42" fillId="0" borderId="0" applyFont="0" applyFill="0" applyBorder="0" applyProtection="0">
      <alignment horizontal="right"/>
    </xf>
    <xf numFmtId="194" fontId="25" fillId="0" borderId="0" applyFont="0" applyFill="0" applyBorder="0" applyAlignment="0" applyProtection="0"/>
    <xf numFmtId="193" fontId="43" fillId="0" borderId="0" applyFill="0" applyBorder="0" applyProtection="0">
      <alignment horizontal="right"/>
    </xf>
    <xf numFmtId="193" fontId="25" fillId="0" borderId="0" applyFont="0" applyFill="0" applyBorder="0" applyProtection="0">
      <alignment horizontal="right"/>
    </xf>
    <xf numFmtId="0" fontId="2" fillId="0" borderId="0"/>
    <xf numFmtId="0" fontId="25" fillId="0" borderId="0"/>
    <xf numFmtId="0" fontId="2" fillId="0" borderId="0"/>
    <xf numFmtId="0" fontId="44" fillId="0" borderId="0"/>
    <xf numFmtId="0" fontId="44" fillId="0" borderId="0"/>
    <xf numFmtId="0" fontId="2"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25" fillId="0" borderId="0"/>
    <xf numFmtId="0" fontId="25" fillId="0" borderId="0"/>
    <xf numFmtId="0" fontId="25" fillId="0" borderId="0"/>
    <xf numFmtId="0" fontId="2" fillId="0" borderId="0"/>
    <xf numFmtId="0" fontId="2" fillId="0" borderId="0"/>
    <xf numFmtId="176" fontId="25" fillId="0" borderId="0" applyFont="0" applyFill="0" applyBorder="0" applyProtection="0">
      <alignment horizontal="right"/>
    </xf>
    <xf numFmtId="176" fontId="25" fillId="0" borderId="0" applyFont="0" applyFill="0" applyBorder="0" applyProtection="0">
      <alignment horizontal="right"/>
    </xf>
    <xf numFmtId="176" fontId="25" fillId="0" borderId="0" applyFont="0" applyFill="0" applyBorder="0" applyAlignment="0" applyProtection="0"/>
    <xf numFmtId="177" fontId="43" fillId="0" borderId="0" applyFill="0" applyBorder="0" applyProtection="0">
      <alignment horizontal="right"/>
    </xf>
    <xf numFmtId="176" fontId="25" fillId="0" borderId="0" applyFont="0" applyFill="0" applyBorder="0" applyProtection="0">
      <alignment horizontal="right"/>
    </xf>
    <xf numFmtId="178" fontId="25" fillId="0" borderId="0" applyFont="0" applyFill="0" applyBorder="0" applyProtection="0">
      <alignment horizontal="right"/>
    </xf>
    <xf numFmtId="178" fontId="25" fillId="0" borderId="0" applyFont="0" applyFill="0" applyBorder="0" applyProtection="0">
      <alignment horizontal="right"/>
    </xf>
    <xf numFmtId="178" fontId="25" fillId="0" borderId="0" applyFont="0" applyFill="0" applyBorder="0" applyAlignment="0" applyProtection="0"/>
    <xf numFmtId="0" fontId="2" fillId="0" borderId="0"/>
    <xf numFmtId="41" fontId="25" fillId="0" borderId="0" applyFont="0" applyFill="0" applyBorder="0" applyAlignment="0" applyProtection="0"/>
    <xf numFmtId="0" fontId="25" fillId="0" borderId="0" applyNumberFormat="0" applyAlignment="0" applyProtection="0"/>
    <xf numFmtId="179" fontId="25" fillId="0" borderId="0" applyFont="0" applyFill="0" applyBorder="0" applyAlignment="0" applyProtection="0"/>
    <xf numFmtId="0" fontId="2"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44" fillId="0" borderId="0"/>
    <xf numFmtId="0" fontId="2" fillId="0" borderId="0"/>
    <xf numFmtId="0" fontId="44"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0" fillId="0" borderId="0" applyNumberFormat="0" applyAlignment="0" applyProtection="0"/>
    <xf numFmtId="0" fontId="25" fillId="0" borderId="0"/>
    <xf numFmtId="0" fontId="25" fillId="0" borderId="0"/>
    <xf numFmtId="0" fontId="51" fillId="0" borderId="0" applyNumberFormat="0" applyFill="0" applyBorder="0" applyProtection="0">
      <alignment vertical="top"/>
    </xf>
    <xf numFmtId="0" fontId="51" fillId="0" borderId="0" applyNumberFormat="0" applyFill="0" applyBorder="0" applyProtection="0">
      <alignment vertical="top"/>
    </xf>
    <xf numFmtId="0" fontId="51" fillId="0" borderId="0" applyNumberFormat="0" applyFill="0" applyBorder="0" applyProtection="0">
      <alignment vertical="top"/>
    </xf>
    <xf numFmtId="0" fontId="51" fillId="0" borderId="0" applyNumberFormat="0" applyFill="0" applyBorder="0" applyProtection="0">
      <alignment vertical="top"/>
    </xf>
    <xf numFmtId="0" fontId="51" fillId="0" borderId="0" applyNumberFormat="0" applyFill="0" applyBorder="0" applyProtection="0">
      <alignment vertical="top"/>
    </xf>
    <xf numFmtId="0" fontId="52" fillId="0" borderId="0" applyNumberFormat="0" applyFill="0" applyBorder="0" applyProtection="0">
      <alignment vertical="top"/>
    </xf>
    <xf numFmtId="0" fontId="27" fillId="0" borderId="0">
      <alignment vertical="top"/>
    </xf>
    <xf numFmtId="41" fontId="25" fillId="0" borderId="0" applyFont="0" applyFill="0" applyBorder="0" applyAlignment="0" applyProtection="0"/>
    <xf numFmtId="0" fontId="36" fillId="0" borderId="31" applyNumberFormat="0" applyFill="0" applyAlignment="0" applyProtection="0"/>
    <xf numFmtId="0" fontId="36" fillId="0" borderId="31" applyNumberFormat="0" applyFill="0" applyAlignment="0" applyProtection="0"/>
    <xf numFmtId="0" fontId="36" fillId="0" borderId="31" applyNumberFormat="0" applyFill="0" applyAlignment="0" applyProtection="0"/>
    <xf numFmtId="0" fontId="36" fillId="0" borderId="31" applyNumberFormat="0" applyFill="0" applyAlignment="0" applyProtection="0"/>
    <xf numFmtId="0" fontId="36" fillId="0" borderId="32" applyNumberFormat="0" applyFill="0" applyAlignment="0" applyProtection="0"/>
    <xf numFmtId="0" fontId="36" fillId="0" borderId="31" applyNumberFormat="0" applyFill="0" applyAlignment="0" applyProtection="0"/>
    <xf numFmtId="0" fontId="36" fillId="0" borderId="31" applyNumberFormat="0" applyFill="0" applyAlignment="0" applyProtection="0"/>
    <xf numFmtId="0" fontId="53" fillId="0" borderId="33" applyNumberFormat="0" applyFill="0" applyProtection="0">
      <alignment horizontal="center"/>
    </xf>
    <xf numFmtId="0" fontId="53" fillId="0" borderId="33" applyNumberFormat="0" applyFill="0" applyProtection="0">
      <alignment horizontal="center"/>
    </xf>
    <xf numFmtId="0" fontId="53" fillId="0" borderId="33" applyNumberFormat="0" applyFill="0" applyProtection="0">
      <alignment horizontal="center"/>
    </xf>
    <xf numFmtId="0" fontId="54" fillId="0" borderId="34" applyNumberFormat="0" applyFill="0" applyProtection="0">
      <alignment horizontal="center"/>
    </xf>
    <xf numFmtId="0" fontId="53" fillId="0" borderId="0" applyNumberFormat="0" applyFill="0" applyBorder="0" applyProtection="0">
      <alignment horizontal="left"/>
    </xf>
    <xf numFmtId="0" fontId="53" fillId="0" borderId="0" applyNumberFormat="0" applyFill="0" applyBorder="0" applyProtection="0">
      <alignment horizontal="left"/>
    </xf>
    <xf numFmtId="0" fontId="53" fillId="0" borderId="0" applyNumberFormat="0" applyFill="0" applyBorder="0" applyProtection="0">
      <alignment horizontal="left"/>
    </xf>
    <xf numFmtId="0" fontId="54" fillId="0" borderId="0" applyNumberFormat="0" applyFill="0" applyBorder="0" applyProtection="0">
      <alignment horizontal="left"/>
    </xf>
    <xf numFmtId="0" fontId="55" fillId="0" borderId="0" applyNumberFormat="0" applyFill="0" applyBorder="0" applyProtection="0">
      <alignment horizontal="centerContinuous"/>
    </xf>
    <xf numFmtId="0" fontId="55" fillId="0" borderId="0" applyNumberFormat="0" applyFill="0" applyBorder="0" applyProtection="0">
      <alignment horizontal="centerContinuous"/>
    </xf>
    <xf numFmtId="0" fontId="55" fillId="0" borderId="0" applyNumberFormat="0" applyFill="0" applyBorder="0" applyProtection="0">
      <alignment horizontal="centerContinuous"/>
    </xf>
    <xf numFmtId="0" fontId="55" fillId="0" borderId="0" applyNumberFormat="0" applyFill="0" applyBorder="0" applyProtection="0">
      <alignment horizontal="centerContinuous"/>
    </xf>
    <xf numFmtId="0" fontId="55" fillId="0" borderId="0" applyNumberFormat="0" applyFill="0" applyProtection="0">
      <alignment horizontal="centerContinuous"/>
    </xf>
    <xf numFmtId="0" fontId="56" fillId="0" borderId="0" applyNumberFormat="0" applyFill="0" applyBorder="0" applyProtection="0">
      <alignment horizontal="center"/>
    </xf>
    <xf numFmtId="0" fontId="55" fillId="0" borderId="0" applyNumberFormat="0" applyFill="0" applyBorder="0" applyProtection="0">
      <alignment horizontal="centerContinuous"/>
    </xf>
    <xf numFmtId="41" fontId="25" fillId="0" borderId="0" applyFont="0" applyFill="0" applyBorder="0" applyAlignment="0" applyProtection="0"/>
    <xf numFmtId="0" fontId="2" fillId="0" borderId="0"/>
    <xf numFmtId="0" fontId="44" fillId="0" borderId="0"/>
    <xf numFmtId="0" fontId="2" fillId="0" borderId="0"/>
    <xf numFmtId="0" fontId="44" fillId="0" borderId="0"/>
    <xf numFmtId="0" fontId="25" fillId="0" borderId="0">
      <alignment horizontal="left" wrapText="1"/>
    </xf>
    <xf numFmtId="0" fontId="25" fillId="0" borderId="0">
      <alignment horizontal="left" wrapText="1"/>
    </xf>
    <xf numFmtId="0" fontId="44" fillId="0" borderId="0"/>
    <xf numFmtId="0" fontId="25" fillId="0" borderId="0"/>
    <xf numFmtId="0" fontId="46" fillId="0" borderId="0" applyNumberFormat="0" applyFill="0" applyBorder="0" applyAlignment="0" applyProtection="0"/>
    <xf numFmtId="0" fontId="50" fillId="0" borderId="0" applyNumberFormat="0" applyAlignment="0" applyProtection="0"/>
    <xf numFmtId="0" fontId="57" fillId="0" borderId="0" applyNumberFormat="0" applyFill="0" applyBorder="0" applyAlignment="0" applyProtection="0">
      <alignment vertical="top"/>
      <protection locked="0"/>
    </xf>
    <xf numFmtId="195" fontId="46" fillId="0" borderId="0" applyFont="0" applyFill="0" applyBorder="0" applyAlignment="0" applyProtection="0"/>
    <xf numFmtId="0" fontId="40" fillId="0" borderId="0"/>
    <xf numFmtId="196" fontId="46" fillId="0" borderId="0" applyFont="0" applyFill="0" applyBorder="0" applyAlignment="0" applyProtection="0"/>
    <xf numFmtId="0" fontId="25" fillId="0" borderId="0"/>
    <xf numFmtId="0" fontId="58" fillId="0" borderId="0"/>
    <xf numFmtId="0" fontId="59"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42" fillId="0" borderId="0"/>
    <xf numFmtId="0" fontId="61" fillId="0" borderId="0"/>
    <xf numFmtId="40" fontId="62" fillId="0" borderId="0" applyFont="0" applyFill="0" applyBorder="0" applyAlignment="0" applyProtection="0"/>
    <xf numFmtId="38" fontId="62" fillId="0" borderId="0" applyFont="0" applyFill="0" applyBorder="0" applyAlignment="0" applyProtection="0"/>
    <xf numFmtId="0" fontId="62" fillId="0" borderId="0" applyFont="0" applyFill="0" applyBorder="0" applyAlignment="0" applyProtection="0"/>
    <xf numFmtId="0" fontId="62" fillId="0" borderId="0" applyFont="0" applyFill="0" applyBorder="0" applyAlignment="0" applyProtection="0"/>
    <xf numFmtId="0" fontId="63" fillId="0" borderId="0"/>
    <xf numFmtId="0" fontId="64" fillId="0" borderId="0"/>
    <xf numFmtId="0" fontId="46" fillId="0" borderId="0"/>
    <xf numFmtId="197" fontId="65" fillId="0" borderId="0">
      <alignment horizontal="right" vertical="center"/>
    </xf>
    <xf numFmtId="198" fontId="65" fillId="0" borderId="0">
      <alignment horizontal="right" vertical="center"/>
    </xf>
    <xf numFmtId="0" fontId="38" fillId="0" borderId="0"/>
    <xf numFmtId="0" fontId="38" fillId="0" borderId="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19" fillId="46"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19" fillId="4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19" fillId="50"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3" fillId="23" borderId="0" applyNumberFormat="0" applyBorder="0" applyAlignment="0" applyProtection="0"/>
    <xf numFmtId="0" fontId="19" fillId="46"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19" fillId="5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19" fillId="50" borderId="0" applyNumberFormat="0" applyBorder="0" applyAlignment="0" applyProtection="0"/>
    <xf numFmtId="42" fontId="46" fillId="0" borderId="0" applyFont="0" applyFill="0" applyBorder="0" applyAlignment="0" applyProtection="0"/>
    <xf numFmtId="199" fontId="25" fillId="0" borderId="0" applyFont="0" applyFill="0" applyBorder="0" applyAlignment="0" applyProtection="0"/>
    <xf numFmtId="44" fontId="46" fillId="0" borderId="0" applyFont="0" applyFill="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19" fillId="53"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19" fillId="48"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19" fillId="4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19" fillId="53"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19" fillId="5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19" fillId="44" borderId="0" applyNumberFormat="0" applyBorder="0" applyAlignment="0" applyProtection="0"/>
    <xf numFmtId="0" fontId="18" fillId="13" borderId="0" applyNumberFormat="0" applyBorder="0" applyAlignment="0" applyProtection="0"/>
    <xf numFmtId="0" fontId="18" fillId="13" borderId="0" applyNumberFormat="0" applyBorder="0" applyAlignment="0" applyProtection="0"/>
    <xf numFmtId="0" fontId="66" fillId="54"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66" fillId="48" borderId="0" applyNumberFormat="0" applyBorder="0" applyAlignment="0" applyProtection="0"/>
    <xf numFmtId="0" fontId="18" fillId="21" borderId="0" applyNumberFormat="0" applyBorder="0" applyAlignment="0" applyProtection="0"/>
    <xf numFmtId="0" fontId="18" fillId="21" borderId="0" applyNumberFormat="0" applyBorder="0" applyAlignment="0" applyProtection="0"/>
    <xf numFmtId="0" fontId="66" fillId="44"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66" fillId="53" borderId="0" applyNumberFormat="0" applyBorder="0" applyAlignment="0" applyProtection="0"/>
    <xf numFmtId="0" fontId="18" fillId="29" borderId="0" applyNumberFormat="0" applyBorder="0" applyAlignment="0" applyProtection="0"/>
    <xf numFmtId="0" fontId="18" fillId="29" borderId="0" applyNumberFormat="0" applyBorder="0" applyAlignment="0" applyProtection="0"/>
    <xf numFmtId="0" fontId="66" fillId="54" borderId="0" applyNumberFormat="0" applyBorder="0" applyAlignment="0" applyProtection="0"/>
    <xf numFmtId="0" fontId="18" fillId="33" borderId="0" applyNumberFormat="0" applyBorder="0" applyAlignment="0" applyProtection="0"/>
    <xf numFmtId="0" fontId="18" fillId="33" borderId="0" applyNumberFormat="0" applyBorder="0" applyAlignment="0" applyProtection="0"/>
    <xf numFmtId="0" fontId="66" fillId="48" borderId="0" applyNumberFormat="0" applyBorder="0" applyAlignment="0" applyProtection="0"/>
    <xf numFmtId="200" fontId="67" fillId="0" borderId="1" applyFont="0" applyFill="0" applyBorder="0" applyAlignment="0" applyProtection="0"/>
    <xf numFmtId="201" fontId="68" fillId="0" borderId="0" applyFont="0" applyFill="0" applyBorder="0" applyAlignment="0" applyProtection="0"/>
    <xf numFmtId="202" fontId="68" fillId="0" borderId="0" applyFont="0" applyFill="0" applyBorder="0" applyAlignment="0" applyProtection="0"/>
    <xf numFmtId="0" fontId="69" fillId="0" borderId="25" applyBorder="0"/>
    <xf numFmtId="0" fontId="18" fillId="10" borderId="0" applyNumberFormat="0" applyBorder="0" applyAlignment="0" applyProtection="0"/>
    <xf numFmtId="0" fontId="18" fillId="10" borderId="0" applyNumberFormat="0" applyBorder="0" applyAlignment="0" applyProtection="0"/>
    <xf numFmtId="0" fontId="66" fillId="54" borderId="0" applyNumberFormat="0" applyBorder="0" applyAlignment="0" applyProtection="0"/>
    <xf numFmtId="0" fontId="18" fillId="14" borderId="0" applyNumberFormat="0" applyBorder="0" applyAlignment="0" applyProtection="0"/>
    <xf numFmtId="0" fontId="18" fillId="14" borderId="0" applyNumberFormat="0" applyBorder="0" applyAlignment="0" applyProtection="0"/>
    <xf numFmtId="0" fontId="66" fillId="55"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66" fillId="56" borderId="0" applyNumberFormat="0" applyBorder="0" applyAlignment="0" applyProtection="0"/>
    <xf numFmtId="0" fontId="18" fillId="22" borderId="0" applyNumberFormat="0" applyBorder="0" applyAlignment="0" applyProtection="0"/>
    <xf numFmtId="0" fontId="18" fillId="22" borderId="0" applyNumberFormat="0" applyBorder="0" applyAlignment="0" applyProtection="0"/>
    <xf numFmtId="0" fontId="66" fillId="57" borderId="0" applyNumberFormat="0" applyBorder="0" applyAlignment="0" applyProtection="0"/>
    <xf numFmtId="0" fontId="18" fillId="26" borderId="0" applyNumberFormat="0" applyBorder="0" applyAlignment="0" applyProtection="0"/>
    <xf numFmtId="0" fontId="18" fillId="26" borderId="0" applyNumberFormat="0" applyBorder="0" applyAlignment="0" applyProtection="0"/>
    <xf numFmtId="0" fontId="66" fillId="54" borderId="0" applyNumberFormat="0" applyBorder="0" applyAlignment="0" applyProtection="0"/>
    <xf numFmtId="0" fontId="18" fillId="30" borderId="0" applyNumberFormat="0" applyBorder="0" applyAlignment="0" applyProtection="0"/>
    <xf numFmtId="0" fontId="18" fillId="30" borderId="0" applyNumberFormat="0" applyBorder="0" applyAlignment="0" applyProtection="0"/>
    <xf numFmtId="0" fontId="66" fillId="58" borderId="0" applyNumberFormat="0" applyBorder="0" applyAlignment="0" applyProtection="0"/>
    <xf numFmtId="3" fontId="25" fillId="59" borderId="3" applyBorder="0">
      <protection locked="0"/>
    </xf>
    <xf numFmtId="203" fontId="70" fillId="0" borderId="0" applyFont="0" applyFill="0" applyBorder="0" applyAlignment="0" applyProtection="0"/>
    <xf numFmtId="204" fontId="71" fillId="0" borderId="0" applyFont="0" applyFill="0" applyBorder="0" applyAlignment="0" applyProtection="0"/>
    <xf numFmtId="205" fontId="72" fillId="0" borderId="0" applyFont="0" applyFill="0" applyBorder="0" applyAlignment="0" applyProtection="0"/>
    <xf numFmtId="206" fontId="70" fillId="0" borderId="0" applyFont="0" applyFill="0" applyBorder="0" applyAlignment="0" applyProtection="0"/>
    <xf numFmtId="207" fontId="71" fillId="0" borderId="0" applyFont="0" applyFill="0" applyBorder="0" applyAlignment="0" applyProtection="0"/>
    <xf numFmtId="0" fontId="73" fillId="0" borderId="0" applyFont="0" applyFill="0" applyBorder="0" applyAlignment="0" applyProtection="0"/>
    <xf numFmtId="208" fontId="68" fillId="0" borderId="0" applyFont="0" applyFill="0" applyBorder="0" applyAlignment="0" applyProtection="0"/>
    <xf numFmtId="209" fontId="68" fillId="0" borderId="0" applyFont="0" applyFill="0" applyBorder="0" applyAlignment="0" applyProtection="0"/>
    <xf numFmtId="0" fontId="74" fillId="0" borderId="0" applyNumberFormat="0" applyFill="0" applyBorder="0" applyAlignment="0" applyProtection="0">
      <alignment vertical="top"/>
      <protection locked="0"/>
    </xf>
    <xf numFmtId="0" fontId="75" fillId="0" borderId="0">
      <alignment horizontal="center" wrapText="1"/>
      <protection locked="0"/>
    </xf>
    <xf numFmtId="9" fontId="25" fillId="60" borderId="1" applyNumberFormat="0" applyFont="0" applyAlignment="0" applyProtection="0"/>
    <xf numFmtId="210" fontId="70" fillId="0" borderId="0" applyFont="0" applyFill="0" applyBorder="0" applyAlignment="0" applyProtection="0"/>
    <xf numFmtId="211" fontId="71" fillId="0" borderId="0" applyFont="0" applyFill="0" applyBorder="0" applyAlignment="0" applyProtection="0"/>
    <xf numFmtId="179" fontId="73" fillId="0" borderId="0" applyFont="0" applyFill="0" applyBorder="0" applyAlignment="0" applyProtection="0"/>
    <xf numFmtId="212" fontId="70" fillId="0" borderId="0" applyFont="0" applyFill="0" applyBorder="0" applyAlignment="0" applyProtection="0"/>
    <xf numFmtId="213" fontId="71" fillId="0" borderId="0" applyFont="0" applyFill="0" applyBorder="0" applyAlignment="0" applyProtection="0"/>
    <xf numFmtId="214" fontId="73" fillId="0" borderId="0" applyFont="0" applyFill="0" applyBorder="0" applyAlignment="0" applyProtection="0"/>
    <xf numFmtId="37" fontId="76" fillId="0" borderId="0"/>
    <xf numFmtId="37" fontId="25" fillId="53" borderId="0"/>
    <xf numFmtId="0" fontId="9" fillId="4" borderId="0" applyNumberFormat="0" applyBorder="0" applyAlignment="0" applyProtection="0"/>
    <xf numFmtId="0" fontId="9" fillId="4" borderId="0" applyNumberFormat="0" applyBorder="0" applyAlignment="0" applyProtection="0"/>
    <xf numFmtId="0" fontId="77" fillId="47" borderId="0" applyNumberFormat="0" applyBorder="0" applyAlignment="0" applyProtection="0"/>
    <xf numFmtId="0" fontId="78" fillId="61" borderId="0" applyNumberFormat="0" applyFont="0"/>
    <xf numFmtId="1" fontId="79" fillId="0" borderId="0" applyFill="0" applyBorder="0" applyProtection="0">
      <alignment horizontal="right" wrapText="1"/>
      <protection locked="0"/>
    </xf>
    <xf numFmtId="215" fontId="80" fillId="0" borderId="0" applyFill="0" applyBorder="0" applyProtection="0">
      <alignment horizontal="right"/>
      <protection locked="0"/>
    </xf>
    <xf numFmtId="0" fontId="81" fillId="0" borderId="0" applyNumberFormat="0" applyFill="0" applyBorder="0" applyProtection="0">
      <protection locked="0"/>
    </xf>
    <xf numFmtId="215" fontId="82" fillId="0" borderId="0">
      <protection locked="0"/>
    </xf>
    <xf numFmtId="216" fontId="49" fillId="0" borderId="0" applyBorder="0" applyProtection="0"/>
    <xf numFmtId="217" fontId="49" fillId="0" borderId="0"/>
    <xf numFmtId="0" fontId="83" fillId="0" borderId="0" applyNumberFormat="0" applyFill="0" applyBorder="0" applyAlignment="0" applyProtection="0"/>
    <xf numFmtId="173" fontId="84" fillId="0" borderId="0"/>
    <xf numFmtId="0" fontId="85" fillId="0" borderId="25" applyNumberFormat="0" applyFill="0" applyAlignment="0" applyProtection="0"/>
    <xf numFmtId="189" fontId="86" fillId="0" borderId="0">
      <alignment vertical="top"/>
    </xf>
    <xf numFmtId="218" fontId="87" fillId="0" borderId="35"/>
    <xf numFmtId="5" fontId="88" fillId="0" borderId="36" applyAlignment="0" applyProtection="0"/>
    <xf numFmtId="0" fontId="75" fillId="0" borderId="18" applyNumberFormat="0" applyFont="0" applyFill="0" applyAlignment="0" applyProtection="0"/>
    <xf numFmtId="0" fontId="75" fillId="0" borderId="37" applyNumberFormat="0" applyFont="0" applyFill="0" applyAlignment="0" applyProtection="0"/>
    <xf numFmtId="5" fontId="88" fillId="0" borderId="36" applyAlignment="0" applyProtection="0"/>
    <xf numFmtId="0" fontId="25" fillId="0" borderId="38" applyFill="0" applyProtection="0">
      <alignment horizontal="right"/>
    </xf>
    <xf numFmtId="219" fontId="89" fillId="0" borderId="0" applyAlignment="0" applyProtection="0"/>
    <xf numFmtId="184" fontId="46" fillId="0" borderId="0" applyFont="0" applyFill="0" applyBorder="0" applyAlignment="0" applyProtection="0"/>
    <xf numFmtId="0" fontId="25" fillId="0" borderId="0" applyNumberFormat="0" applyFill="0" applyBorder="0" applyAlignment="0" applyProtection="0"/>
    <xf numFmtId="0" fontId="90" fillId="0" borderId="0"/>
    <xf numFmtId="220" fontId="91" fillId="0" borderId="39" applyFont="0" applyFill="0" applyBorder="0" applyAlignment="0" applyProtection="0"/>
    <xf numFmtId="0" fontId="25"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68" fillId="0" borderId="0"/>
    <xf numFmtId="0" fontId="93" fillId="0" borderId="0"/>
    <xf numFmtId="0" fontId="94" fillId="0" borderId="0"/>
    <xf numFmtId="0" fontId="73" fillId="0" borderId="0"/>
    <xf numFmtId="0" fontId="25" fillId="0" borderId="0" applyNumberFormat="0" applyFill="0" applyBorder="0" applyAlignment="0" applyProtection="0"/>
    <xf numFmtId="0" fontId="25" fillId="0" borderId="0" applyNumberFormat="0" applyFill="0" applyBorder="0" applyAlignment="0" applyProtection="0"/>
    <xf numFmtId="221" fontId="25" fillId="0" borderId="0" applyFill="0" applyBorder="0" applyAlignment="0"/>
    <xf numFmtId="165" fontId="41" fillId="0" borderId="0" applyFill="0" applyBorder="0" applyAlignment="0"/>
    <xf numFmtId="165" fontId="41" fillId="0" borderId="0" applyFill="0" applyBorder="0" applyAlignment="0"/>
    <xf numFmtId="165" fontId="41"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172" fontId="91" fillId="0" borderId="0" applyFill="0" applyBorder="0" applyAlignment="0"/>
    <xf numFmtId="223" fontId="25" fillId="0" borderId="0" applyFill="0" applyBorder="0" applyAlignment="0"/>
    <xf numFmtId="223" fontId="25" fillId="0" borderId="0" applyFill="0" applyBorder="0" applyAlignment="0"/>
    <xf numFmtId="223" fontId="25" fillId="0" borderId="0" applyFill="0" applyBorder="0" applyAlignment="0"/>
    <xf numFmtId="224" fontId="91" fillId="0" borderId="0" applyFill="0" applyBorder="0" applyAlignment="0"/>
    <xf numFmtId="225" fontId="25" fillId="0" borderId="0" applyFill="0" applyBorder="0" applyAlignment="0"/>
    <xf numFmtId="225" fontId="25" fillId="0" borderId="0" applyFill="0" applyBorder="0" applyAlignment="0"/>
    <xf numFmtId="225" fontId="25" fillId="0" borderId="0" applyFill="0" applyBorder="0" applyAlignment="0"/>
    <xf numFmtId="226" fontId="91" fillId="0" borderId="0" applyFill="0" applyBorder="0" applyAlignment="0"/>
    <xf numFmtId="227" fontId="25" fillId="0" borderId="0" applyFill="0" applyBorder="0" applyAlignment="0"/>
    <xf numFmtId="227" fontId="25" fillId="0" borderId="0" applyFill="0" applyBorder="0" applyAlignment="0"/>
    <xf numFmtId="227" fontId="25" fillId="0" borderId="0" applyFill="0" applyBorder="0" applyAlignment="0"/>
    <xf numFmtId="228" fontId="91" fillId="0" borderId="0" applyFill="0" applyBorder="0" applyAlignment="0"/>
    <xf numFmtId="229" fontId="27" fillId="0" borderId="0" applyFill="0" applyBorder="0" applyAlignment="0"/>
    <xf numFmtId="229" fontId="27" fillId="0" borderId="0" applyFill="0" applyBorder="0" applyAlignment="0"/>
    <xf numFmtId="229" fontId="27" fillId="0" borderId="0" applyFill="0" applyBorder="0" applyAlignment="0"/>
    <xf numFmtId="230" fontId="91" fillId="0" borderId="0" applyFill="0" applyBorder="0" applyAlignment="0"/>
    <xf numFmtId="231" fontId="25" fillId="0" borderId="0" applyFill="0" applyBorder="0" applyAlignment="0"/>
    <xf numFmtId="231" fontId="25" fillId="0" borderId="0" applyFill="0" applyBorder="0" applyAlignment="0"/>
    <xf numFmtId="231" fontId="25"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0" fontId="13" fillId="7" borderId="11" applyNumberFormat="0" applyAlignment="0" applyProtection="0"/>
    <xf numFmtId="0" fontId="13" fillId="7" borderId="11" applyNumberFormat="0" applyAlignment="0" applyProtection="0"/>
    <xf numFmtId="0" fontId="95" fillId="62" borderId="40" applyNumberFormat="0" applyAlignment="0" applyProtection="0"/>
    <xf numFmtId="0" fontId="42" fillId="0" borderId="0"/>
    <xf numFmtId="0" fontId="96" fillId="0" borderId="0"/>
    <xf numFmtId="0" fontId="97" fillId="0" borderId="0" applyFill="0" applyBorder="0" applyProtection="0">
      <alignment horizontal="center"/>
      <protection locked="0"/>
    </xf>
    <xf numFmtId="8" fontId="25" fillId="0" borderId="41" applyFont="0" applyFill="0" applyBorder="0" applyProtection="0">
      <alignment horizontal="right"/>
    </xf>
    <xf numFmtId="232" fontId="41" fillId="0" borderId="0"/>
    <xf numFmtId="233" fontId="4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7" fillId="0" borderId="0"/>
    <xf numFmtId="214" fontId="25" fillId="0" borderId="0" applyBorder="0" applyProtection="0"/>
    <xf numFmtId="0" fontId="15" fillId="8" borderId="14" applyNumberFormat="0" applyAlignment="0" applyProtection="0"/>
    <xf numFmtId="0" fontId="15" fillId="8" borderId="14" applyNumberFormat="0" applyAlignment="0" applyProtection="0"/>
    <xf numFmtId="0" fontId="98" fillId="63" borderId="42" applyNumberFormat="0" applyAlignment="0" applyProtection="0"/>
    <xf numFmtId="0" fontId="99" fillId="0" borderId="0" applyNumberFormat="0" applyFill="0" applyBorder="0" applyAlignment="0" applyProtection="0">
      <alignment vertical="top"/>
      <protection locked="0"/>
    </xf>
    <xf numFmtId="1" fontId="100" fillId="0" borderId="0">
      <protection locked="0"/>
    </xf>
    <xf numFmtId="234" fontId="88" fillId="0" borderId="28">
      <alignment horizontal="left"/>
    </xf>
    <xf numFmtId="0" fontId="43" fillId="0" borderId="0" applyNumberFormat="0" applyFill="0" applyBorder="0" applyAlignment="0" applyProtection="0"/>
    <xf numFmtId="0" fontId="101" fillId="0" borderId="0">
      <alignment horizontal="right"/>
    </xf>
    <xf numFmtId="0" fontId="25" fillId="0" borderId="3">
      <alignment horizontal="center"/>
    </xf>
    <xf numFmtId="0" fontId="102" fillId="0" borderId="0" applyNumberFormat="0" applyFill="0" applyBorder="0" applyProtection="0">
      <alignment wrapText="1"/>
    </xf>
    <xf numFmtId="0" fontId="103" fillId="0" borderId="0" applyNumberFormat="0" applyFill="0" applyBorder="0" applyProtection="0"/>
    <xf numFmtId="0" fontId="104" fillId="0" borderId="0" applyNumberFormat="0" applyFill="0" applyBorder="0" applyProtection="0">
      <alignment horizontal="center" wrapText="1"/>
    </xf>
    <xf numFmtId="0" fontId="102" fillId="0" borderId="25" applyNumberFormat="0" applyFill="0" applyProtection="0">
      <alignment horizontal="right" wrapText="1"/>
    </xf>
    <xf numFmtId="0" fontId="102" fillId="0" borderId="25" applyNumberFormat="0" applyFill="0" applyProtection="0">
      <alignment horizontal="left" wrapText="1"/>
    </xf>
    <xf numFmtId="0" fontId="105" fillId="64" borderId="0"/>
    <xf numFmtId="43" fontId="25" fillId="0" borderId="0" applyFont="0" applyFill="0" applyBorder="0" applyAlignment="0" applyProtection="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44"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235" fontId="46" fillId="0" borderId="0"/>
    <xf numFmtId="228" fontId="91"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229" fontId="25" fillId="0" borderId="0" applyFont="0" applyFill="0" applyBorder="0" applyAlignment="0" applyProtection="0"/>
    <xf numFmtId="167" fontId="107" fillId="0" borderId="0" applyFont="0" applyFill="0" applyBorder="0" applyAlignment="0" applyProtection="0"/>
    <xf numFmtId="0" fontId="108" fillId="0" borderId="0" applyFont="0" applyFill="0" applyBorder="0" applyAlignment="0" applyProtection="0">
      <alignment horizontal="right"/>
    </xf>
    <xf numFmtId="236" fontId="108" fillId="0" borderId="0" applyFont="0" applyFill="0" applyBorder="0" applyAlignment="0" applyProtection="0"/>
    <xf numFmtId="237" fontId="108" fillId="0" borderId="0" applyFont="0" applyFill="0" applyBorder="0" applyAlignment="0" applyProtection="0">
      <alignment horizontal="right"/>
    </xf>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43" fontId="33"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238" fontId="108" fillId="0" borderId="0" applyFont="0" applyFill="0" applyBorder="0" applyAlignment="0" applyProtection="0"/>
    <xf numFmtId="43"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214"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239" fontId="10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3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0" fontId="25" fillId="0" borderId="0" applyFont="0" applyFill="0" applyBorder="0" applyProtection="0">
      <alignment horizontal="right"/>
    </xf>
    <xf numFmtId="240" fontId="109" fillId="0" borderId="0"/>
    <xf numFmtId="241" fontId="108" fillId="0" borderId="0" applyFont="0" applyFill="0" applyBorder="0" applyAlignment="0" applyProtection="0"/>
    <xf numFmtId="189" fontId="83" fillId="0" borderId="43"/>
    <xf numFmtId="3" fontId="110" fillId="0" borderId="0" applyFont="0" applyFill="0" applyBorder="0" applyAlignment="0" applyProtection="0"/>
    <xf numFmtId="0" fontId="25" fillId="0" borderId="0"/>
    <xf numFmtId="0" fontId="25" fillId="0" borderId="0"/>
    <xf numFmtId="242" fontId="25" fillId="0" borderId="0">
      <protection locked="0"/>
    </xf>
    <xf numFmtId="0" fontId="25" fillId="0" borderId="0"/>
    <xf numFmtId="0" fontId="25" fillId="0" borderId="0"/>
    <xf numFmtId="0" fontId="111" fillId="34" borderId="0" applyNumberFormat="0" applyFill="0" applyBorder="0" applyAlignment="0"/>
    <xf numFmtId="0" fontId="25" fillId="0" borderId="1" applyNumberFormat="0" applyFont="0" applyFill="0" applyAlignment="0" applyProtection="0">
      <alignment horizontal="center"/>
    </xf>
    <xf numFmtId="0" fontId="112" fillId="0" borderId="0" applyFill="0" applyBorder="0" applyAlignment="0" applyProtection="0">
      <protection locked="0"/>
    </xf>
    <xf numFmtId="189" fontId="25" fillId="0" borderId="0" applyFill="0" applyBorder="0">
      <alignment horizontal="left"/>
    </xf>
    <xf numFmtId="0" fontId="113" fillId="34" borderId="0" applyFill="0" applyBorder="0"/>
    <xf numFmtId="0" fontId="25" fillId="0" borderId="0"/>
    <xf numFmtId="0" fontId="25" fillId="0" borderId="0"/>
    <xf numFmtId="0" fontId="25" fillId="0" borderId="0"/>
    <xf numFmtId="0" fontId="25" fillId="0" borderId="0"/>
    <xf numFmtId="0" fontId="25" fillId="0" borderId="0"/>
    <xf numFmtId="0" fontId="25" fillId="0" borderId="0"/>
    <xf numFmtId="0" fontId="26" fillId="0" borderId="0">
      <alignment horizontal="left" indent="3"/>
    </xf>
    <xf numFmtId="0" fontId="26" fillId="0" borderId="0">
      <alignment horizontal="left" indent="5"/>
    </xf>
    <xf numFmtId="0" fontId="114" fillId="0" borderId="0" applyNumberFormat="0" applyAlignment="0">
      <alignment horizontal="left"/>
    </xf>
    <xf numFmtId="0" fontId="115" fillId="0" borderId="0">
      <alignment horizontal="left"/>
    </xf>
    <xf numFmtId="0" fontId="116" fillId="0" borderId="0"/>
    <xf numFmtId="0" fontId="117" fillId="0" borderId="0">
      <alignment horizontal="left"/>
    </xf>
    <xf numFmtId="243" fontId="25" fillId="0" borderId="0" applyFill="0" applyBorder="0" applyAlignment="0" applyProtection="0">
      <alignment horizontal="left"/>
    </xf>
    <xf numFmtId="243" fontId="49" fillId="0" borderId="0" applyFill="0" applyBorder="0" applyAlignment="0" applyProtection="0">
      <alignment horizontal="left"/>
    </xf>
    <xf numFmtId="244" fontId="41" fillId="0" borderId="0" applyFont="0" applyFill="0" applyBorder="0" applyAlignment="0" applyProtection="0"/>
    <xf numFmtId="189" fontId="91" fillId="0" borderId="0" applyFont="0" applyFill="0" applyBorder="0" applyAlignment="0" applyProtection="0"/>
    <xf numFmtId="222" fontId="25" fillId="0" borderId="0" applyFont="0" applyFill="0" applyBorder="0" applyAlignment="0" applyProtection="0"/>
    <xf numFmtId="222" fontId="25" fillId="0" borderId="0" applyFont="0" applyFill="0" applyBorder="0" applyAlignment="0" applyProtection="0"/>
    <xf numFmtId="222" fontId="25" fillId="0" borderId="0" applyFont="0" applyFill="0" applyBorder="0" applyAlignment="0" applyProtection="0"/>
    <xf numFmtId="245" fontId="25" fillId="0" borderId="0" applyFont="0" applyFill="0" applyBorder="0" applyAlignment="0" applyProtection="0"/>
    <xf numFmtId="8" fontId="25" fillId="0" borderId="0" applyBorder="0"/>
    <xf numFmtId="0" fontId="108" fillId="0" borderId="0" applyFont="0" applyFill="0" applyBorder="0" applyAlignment="0" applyProtection="0">
      <alignment horizontal="right"/>
    </xf>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0" fontId="108" fillId="0" borderId="0" applyFont="0" applyFill="0" applyBorder="0" applyAlignment="0" applyProtection="0">
      <alignment horizontal="right"/>
    </xf>
    <xf numFmtId="246" fontId="118" fillId="0" borderId="0" applyFont="0" applyFill="0" applyBorder="0" applyAlignment="0" applyProtection="0"/>
    <xf numFmtId="0" fontId="108" fillId="0" borderId="0" applyFont="0" applyFill="0" applyBorder="0" applyAlignment="0" applyProtection="0">
      <alignment horizontal="right"/>
    </xf>
    <xf numFmtId="44" fontId="33" fillId="0" borderId="0" applyFont="0" applyFill="0" applyBorder="0" applyAlignment="0" applyProtection="0"/>
    <xf numFmtId="247" fontId="118"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44"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168" fontId="25" fillId="0" borderId="0" applyFont="0" applyFill="0" applyBorder="0" applyAlignment="0" applyProtection="0"/>
    <xf numFmtId="248" fontId="108" fillId="0" borderId="0" applyFont="0" applyFill="0" applyBorder="0" applyAlignment="0" applyProtection="0"/>
    <xf numFmtId="249" fontId="110" fillId="0" borderId="0" applyFont="0" applyFill="0" applyBorder="0" applyAlignment="0" applyProtection="0"/>
    <xf numFmtId="250" fontId="109" fillId="0" borderId="0"/>
    <xf numFmtId="251" fontId="108" fillId="0" borderId="0" applyFill="0" applyBorder="0" applyProtection="0">
      <alignment vertical="center"/>
    </xf>
    <xf numFmtId="164" fontId="119" fillId="0" borderId="0" applyFont="0" applyBorder="0" applyAlignment="0"/>
    <xf numFmtId="252" fontId="91" fillId="0" borderId="0" applyFont="0" applyFill="0" applyBorder="0" applyAlignment="0" applyProtection="0"/>
    <xf numFmtId="0" fontId="120" fillId="0" borderId="0"/>
    <xf numFmtId="242" fontId="46" fillId="0" borderId="0" applyFont="0" applyFill="0" applyBorder="0" applyAlignment="0" applyProtection="0"/>
    <xf numFmtId="49" fontId="43" fillId="0" borderId="0" applyNumberFormat="0" applyFill="0" applyBorder="0" applyAlignment="0" applyProtection="0">
      <alignment horizontal="left"/>
    </xf>
    <xf numFmtId="0" fontId="120" fillId="0" borderId="44"/>
    <xf numFmtId="37" fontId="121" fillId="0" borderId="45" applyAlignment="0">
      <protection locked="0"/>
    </xf>
    <xf numFmtId="10" fontId="121" fillId="0" borderId="45" applyAlignment="0">
      <protection locked="0"/>
    </xf>
    <xf numFmtId="0" fontId="110" fillId="0" borderId="0" applyFont="0" applyFill="0" applyBorder="0" applyAlignment="0" applyProtection="0"/>
    <xf numFmtId="253" fontId="25" fillId="0" borderId="0" applyFont="0" applyAlignment="0"/>
    <xf numFmtId="253" fontId="25" fillId="0" borderId="0" applyFont="0" applyAlignment="0"/>
    <xf numFmtId="253" fontId="25" fillId="0" borderId="0" applyFont="0" applyAlignment="0"/>
    <xf numFmtId="0" fontId="108" fillId="0" borderId="0" applyFont="0" applyFill="0" applyBorder="0" applyAlignment="0" applyProtection="0"/>
    <xf numFmtId="254" fontId="25" fillId="0" borderId="0" applyFont="0" applyFill="0" applyBorder="0" applyAlignment="0" applyProtection="0"/>
    <xf numFmtId="0" fontId="108" fillId="0" borderId="0" applyFont="0" applyFill="0" applyBorder="0" applyAlignment="0" applyProtection="0"/>
    <xf numFmtId="14" fontId="27" fillId="0" borderId="0" applyFill="0" applyBorder="0" applyAlignment="0"/>
    <xf numFmtId="17" fontId="122" fillId="0" borderId="36" applyFont="0" applyFill="0" applyBorder="0" applyAlignment="0" applyProtection="0"/>
    <xf numFmtId="255" fontId="25" fillId="0" borderId="0">
      <protection locked="0"/>
    </xf>
    <xf numFmtId="38" fontId="42" fillId="0" borderId="46">
      <alignment vertical="center"/>
    </xf>
    <xf numFmtId="0" fontId="123" fillId="63" borderId="0"/>
    <xf numFmtId="2" fontId="102" fillId="0" borderId="0"/>
    <xf numFmtId="0" fontId="124" fillId="34" borderId="0"/>
    <xf numFmtId="43" fontId="25" fillId="0" borderId="0" applyFont="0" applyFill="0" applyBorder="0" applyAlignment="0" applyProtection="0"/>
    <xf numFmtId="0" fontId="125" fillId="0" borderId="0">
      <protection locked="0"/>
    </xf>
    <xf numFmtId="9" fontId="25" fillId="0" borderId="0"/>
    <xf numFmtId="9" fontId="25" fillId="0" borderId="0"/>
    <xf numFmtId="0" fontId="25" fillId="0" borderId="0"/>
    <xf numFmtId="0" fontId="25" fillId="0" borderId="0"/>
    <xf numFmtId="256" fontId="41" fillId="0" borderId="47" applyFont="0" applyFill="0" applyBorder="0" applyAlignment="0" applyProtection="0"/>
    <xf numFmtId="257" fontId="126" fillId="0" borderId="0" applyFill="0" applyBorder="0" applyAlignment="0" applyProtection="0"/>
    <xf numFmtId="258" fontId="41" fillId="0" borderId="0"/>
    <xf numFmtId="259" fontId="109" fillId="0" borderId="0"/>
    <xf numFmtId="260" fontId="25" fillId="0" borderId="0" applyBorder="0" applyProtection="0"/>
    <xf numFmtId="164" fontId="127" fillId="0" borderId="0" applyFont="0" applyFill="0" applyBorder="0" applyAlignment="0" applyProtection="0"/>
    <xf numFmtId="0" fontId="89" fillId="0" borderId="0"/>
    <xf numFmtId="0" fontId="108" fillId="0" borderId="48" applyNumberFormat="0" applyFont="0" applyFill="0" applyAlignment="0" applyProtection="0"/>
    <xf numFmtId="41" fontId="128" fillId="0" borderId="0" applyFont="0" applyFill="0" applyBorder="0" applyAlignment="0" applyProtection="0"/>
    <xf numFmtId="43" fontId="128" fillId="0" borderId="0" applyFont="0" applyFill="0" applyBorder="0" applyAlignment="0" applyProtection="0"/>
    <xf numFmtId="0" fontId="129" fillId="0" borderId="0">
      <protection locked="0"/>
    </xf>
    <xf numFmtId="0" fontId="129" fillId="0" borderId="0">
      <protection locked="0"/>
    </xf>
    <xf numFmtId="228" fontId="91" fillId="0" borderId="0" applyFill="0" applyBorder="0" applyAlignment="0"/>
    <xf numFmtId="229" fontId="121" fillId="0" borderId="0" applyFill="0" applyBorder="0" applyAlignment="0"/>
    <xf numFmtId="229" fontId="121" fillId="0" borderId="0" applyFill="0" applyBorder="0" applyAlignment="0"/>
    <xf numFmtId="229" fontId="121"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228" fontId="91" fillId="0" borderId="0" applyFill="0" applyBorder="0" applyAlignment="0"/>
    <xf numFmtId="229" fontId="121" fillId="0" borderId="0" applyFill="0" applyBorder="0" applyAlignment="0"/>
    <xf numFmtId="229" fontId="121" fillId="0" borderId="0" applyFill="0" applyBorder="0" applyAlignment="0"/>
    <xf numFmtId="229" fontId="121" fillId="0" borderId="0" applyFill="0" applyBorder="0" applyAlignment="0"/>
    <xf numFmtId="230" fontId="91" fillId="0" borderId="0" applyFill="0" applyBorder="0" applyAlignment="0"/>
    <xf numFmtId="231" fontId="25" fillId="0" borderId="0" applyFill="0" applyBorder="0" applyAlignment="0"/>
    <xf numFmtId="231" fontId="25" fillId="0" borderId="0" applyFill="0" applyBorder="0" applyAlignment="0"/>
    <xf numFmtId="231" fontId="25"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0" fontId="130" fillId="0" borderId="0" applyNumberFormat="0" applyAlignment="0">
      <alignment horizontal="left"/>
    </xf>
    <xf numFmtId="0" fontId="75" fillId="65" borderId="49" applyNumberFormat="0" applyFont="0" applyAlignment="0">
      <protection locked="0"/>
    </xf>
    <xf numFmtId="261" fontId="41" fillId="0" borderId="47" applyFont="0" applyFill="0" applyBorder="0" applyAlignment="0" applyProtection="0"/>
    <xf numFmtId="262" fontId="41" fillId="0" borderId="0" applyFont="0" applyFill="0" applyBorder="0" applyAlignment="0" applyProtection="0"/>
    <xf numFmtId="263" fontId="41" fillId="0" borderId="0" applyFont="0" applyFill="0" applyBorder="0" applyAlignment="0" applyProtection="0"/>
    <xf numFmtId="264" fontId="41" fillId="0" borderId="0"/>
    <xf numFmtId="263" fontId="41" fillId="0" borderId="0" applyFont="0" applyFill="0" applyBorder="0" applyAlignment="0" applyProtection="0"/>
    <xf numFmtId="265" fontId="41" fillId="0" borderId="0" applyFont="0" applyFill="0" applyBorder="0" applyAlignment="0" applyProtection="0"/>
    <xf numFmtId="266" fontId="46" fillId="0" borderId="47" applyFont="0" applyFill="0" applyBorder="0" applyAlignment="0" applyProtection="0"/>
    <xf numFmtId="243" fontId="91" fillId="0" borderId="0" applyFill="0" applyAlignment="0" applyProtection="0"/>
    <xf numFmtId="267" fontId="41" fillId="0" borderId="0" applyFont="0" applyFill="0" applyBorder="0" applyAlignment="0" applyProtection="0"/>
    <xf numFmtId="268" fontId="41" fillId="0" borderId="0"/>
    <xf numFmtId="269" fontId="41" fillId="0" borderId="0"/>
    <xf numFmtId="270" fontId="42" fillId="0" borderId="0" applyFont="0" applyFill="0" applyBorder="0" applyAlignment="0" applyProtection="0"/>
    <xf numFmtId="0" fontId="25" fillId="0" borderId="0"/>
    <xf numFmtId="0" fontId="17" fillId="0" borderId="0" applyNumberFormat="0" applyFill="0" applyBorder="0" applyAlignment="0" applyProtection="0"/>
    <xf numFmtId="0" fontId="17" fillId="0" borderId="0" applyNumberFormat="0" applyFill="0" applyBorder="0" applyAlignment="0" applyProtection="0"/>
    <xf numFmtId="0" fontId="131" fillId="0" borderId="0" applyNumberFormat="0" applyFill="0" applyBorder="0" applyAlignment="0" applyProtection="0"/>
    <xf numFmtId="253" fontId="25" fillId="66" borderId="50" applyFont="0" applyAlignment="0"/>
    <xf numFmtId="271" fontId="91" fillId="0" borderId="0" applyFill="0" applyBorder="0">
      <alignment horizontal="right" vertical="top"/>
    </xf>
    <xf numFmtId="0" fontId="132" fillId="0" borderId="0">
      <alignment horizontal="center" wrapText="1"/>
    </xf>
    <xf numFmtId="179" fontId="91" fillId="0" borderId="0" applyFill="0" applyBorder="0" applyAlignment="0" applyProtection="0">
      <alignment horizontal="right" vertical="top"/>
    </xf>
    <xf numFmtId="272" fontId="133" fillId="0" borderId="0"/>
    <xf numFmtId="0" fontId="91" fillId="0" borderId="0" applyFill="0" applyBorder="0">
      <alignment horizontal="left" vertical="top"/>
    </xf>
    <xf numFmtId="0" fontId="134" fillId="0" borderId="0" applyNumberFormat="0" applyFont="0" applyFill="0" applyBorder="0" applyAlignment="0" applyProtection="0"/>
    <xf numFmtId="0" fontId="134" fillId="0" borderId="0" applyNumberFormat="0" applyFont="0" applyFill="0" applyBorder="0" applyAlignment="0" applyProtection="0"/>
    <xf numFmtId="0" fontId="134" fillId="0" borderId="0" applyNumberFormat="0" applyFont="0" applyFill="0" applyBorder="0" applyAlignment="0" applyProtection="0"/>
    <xf numFmtId="0" fontId="134" fillId="0" borderId="0" applyNumberFormat="0" applyFont="0" applyFill="0" applyBorder="0" applyAlignment="0" applyProtection="0"/>
    <xf numFmtId="0" fontId="134" fillId="0" borderId="0" applyNumberFormat="0" applyFont="0" applyFill="0" applyBorder="0" applyAlignment="0" applyProtection="0"/>
    <xf numFmtId="0" fontId="134" fillId="0" borderId="0" applyNumberFormat="0" applyFont="0" applyFill="0" applyBorder="0" applyAlignment="0" applyProtection="0"/>
    <xf numFmtId="0" fontId="134" fillId="0" borderId="0" applyNumberFormat="0" applyFont="0" applyFill="0" applyBorder="0" applyAlignment="0" applyProtection="0"/>
    <xf numFmtId="0" fontId="135" fillId="0" borderId="0" applyFill="0" applyAlignment="0"/>
    <xf numFmtId="0" fontId="25" fillId="0" borderId="0" applyFont="0" applyFill="0" applyBorder="0" applyAlignment="0" applyProtection="0"/>
    <xf numFmtId="2" fontId="25" fillId="0" borderId="0" applyFont="0" applyFill="0" applyBorder="0" applyAlignment="0" applyProtection="0"/>
    <xf numFmtId="0" fontId="125" fillId="0" borderId="0">
      <protection locked="0"/>
    </xf>
    <xf numFmtId="2" fontId="110" fillId="0" borderId="0" applyFont="0" applyFill="0" applyBorder="0" applyAlignment="0" applyProtection="0"/>
    <xf numFmtId="0" fontId="136" fillId="0" borderId="0"/>
    <xf numFmtId="0" fontId="137" fillId="0" borderId="0" applyNumberFormat="0" applyFill="0" applyBorder="0" applyAlignment="0" applyProtection="0">
      <alignment vertical="top"/>
      <protection locked="0"/>
    </xf>
    <xf numFmtId="0" fontId="38" fillId="0" borderId="0">
      <alignment vertical="center"/>
    </xf>
    <xf numFmtId="0" fontId="25" fillId="0" borderId="27"/>
    <xf numFmtId="0" fontId="138" fillId="0" borderId="0">
      <alignment horizontal="left"/>
    </xf>
    <xf numFmtId="0" fontId="139" fillId="0" borderId="0">
      <alignment horizontal="left"/>
    </xf>
    <xf numFmtId="0" fontId="140" fillId="0" borderId="0" applyFill="0" applyBorder="0" applyProtection="0">
      <alignment horizontal="left"/>
    </xf>
    <xf numFmtId="0" fontId="140" fillId="0" borderId="0" applyNumberFormat="0" applyFill="0" applyBorder="0" applyProtection="0">
      <alignment horizontal="left"/>
    </xf>
    <xf numFmtId="0" fontId="140" fillId="0" borderId="0">
      <alignment horizontal="left"/>
    </xf>
    <xf numFmtId="0" fontId="25" fillId="0" borderId="0" applyNumberFormat="0" applyFill="0" applyBorder="0" applyAlignment="0" applyProtection="0"/>
    <xf numFmtId="0" fontId="141" fillId="67" borderId="51" applyNumberFormat="0" applyAlignment="0">
      <protection locked="0"/>
    </xf>
    <xf numFmtId="273" fontId="91" fillId="0" borderId="0" applyFont="0" applyFill="0" applyBorder="0" applyAlignment="0" applyProtection="0">
      <protection locked="0"/>
    </xf>
    <xf numFmtId="13" fontId="91" fillId="0" borderId="0" applyFont="0" applyFill="0" applyBorder="0" applyAlignment="0" applyProtection="0">
      <protection locked="0"/>
    </xf>
    <xf numFmtId="0" fontId="25" fillId="0" borderId="0"/>
    <xf numFmtId="0" fontId="25" fillId="0" borderId="25">
      <alignment horizontal="center"/>
    </xf>
    <xf numFmtId="0" fontId="8" fillId="3" borderId="0" applyNumberFormat="0" applyBorder="0" applyAlignment="0" applyProtection="0"/>
    <xf numFmtId="0" fontId="8" fillId="3" borderId="0" applyNumberFormat="0" applyBorder="0" applyAlignment="0" applyProtection="0"/>
    <xf numFmtId="0" fontId="142" fillId="49" borderId="0" applyNumberFormat="0" applyBorder="0" applyAlignment="0" applyProtection="0"/>
    <xf numFmtId="0" fontId="43" fillId="0" borderId="0" applyNumberFormat="0" applyFill="0" applyBorder="0" applyProtection="0">
      <alignment wrapText="1"/>
    </xf>
    <xf numFmtId="0" fontId="39" fillId="0" borderId="0" applyNumberFormat="0" applyFill="0" applyBorder="0" applyProtection="0">
      <alignment wrapText="1"/>
    </xf>
    <xf numFmtId="38" fontId="43" fillId="34" borderId="0" applyNumberFormat="0" applyBorder="0" applyAlignment="0" applyProtection="0"/>
    <xf numFmtId="0" fontId="25" fillId="0" borderId="0"/>
    <xf numFmtId="0" fontId="25" fillId="0" borderId="0"/>
    <xf numFmtId="0" fontId="25" fillId="0" borderId="0"/>
    <xf numFmtId="274" fontId="143" fillId="0" borderId="0" applyFill="0" applyBorder="0" applyProtection="0">
      <alignment horizontal="right"/>
      <protection locked="0"/>
    </xf>
    <xf numFmtId="0" fontId="108" fillId="0" borderId="0" applyFont="0" applyFill="0" applyBorder="0" applyAlignment="0" applyProtection="0">
      <alignment horizontal="right"/>
    </xf>
    <xf numFmtId="0" fontId="144" fillId="0" borderId="0" applyProtection="0">
      <alignment horizontal="right"/>
    </xf>
    <xf numFmtId="0" fontId="145" fillId="0" borderId="0">
      <alignment horizontal="left"/>
    </xf>
    <xf numFmtId="0" fontId="145" fillId="0" borderId="0">
      <alignment horizontal="left"/>
    </xf>
    <xf numFmtId="0" fontId="103" fillId="0" borderId="29" applyNumberFormat="0" applyAlignment="0" applyProtection="0">
      <alignment horizontal="left" vertical="center"/>
    </xf>
    <xf numFmtId="0" fontId="103" fillId="0" borderId="21">
      <alignment horizontal="left" vertical="center"/>
    </xf>
    <xf numFmtId="0" fontId="146" fillId="0" borderId="0">
      <alignment horizontal="center"/>
    </xf>
    <xf numFmtId="14" fontId="26" fillId="59" borderId="18">
      <alignment horizontal="center" vertical="center" wrapText="1"/>
    </xf>
    <xf numFmtId="0" fontId="5" fillId="0" borderId="8" applyNumberFormat="0" applyFill="0" applyAlignment="0" applyProtection="0"/>
    <xf numFmtId="0" fontId="5" fillId="0" borderId="8" applyNumberFormat="0" applyFill="0" applyAlignment="0" applyProtection="0"/>
    <xf numFmtId="0" fontId="147" fillId="0" borderId="52" applyNumberFormat="0" applyFill="0" applyAlignment="0" applyProtection="0"/>
    <xf numFmtId="0" fontId="148" fillId="0" borderId="0">
      <alignment horizontal="left"/>
    </xf>
    <xf numFmtId="0" fontId="149" fillId="0" borderId="26">
      <alignment horizontal="left" vertical="top"/>
    </xf>
    <xf numFmtId="0" fontId="6" fillId="0" borderId="9" applyNumberFormat="0" applyFill="0" applyAlignment="0" applyProtection="0"/>
    <xf numFmtId="0" fontId="6" fillId="0" borderId="9" applyNumberFormat="0" applyFill="0" applyAlignment="0" applyProtection="0"/>
    <xf numFmtId="0" fontId="150" fillId="0" borderId="53" applyNumberFormat="0" applyFill="0" applyAlignment="0" applyProtection="0"/>
    <xf numFmtId="0" fontId="151" fillId="0" borderId="0">
      <alignment horizontal="left"/>
    </xf>
    <xf numFmtId="0" fontId="152" fillId="0" borderId="26">
      <alignment horizontal="left" vertical="top"/>
    </xf>
    <xf numFmtId="0" fontId="7" fillId="0" borderId="10" applyNumberFormat="0" applyFill="0" applyAlignment="0" applyProtection="0"/>
    <xf numFmtId="0" fontId="7" fillId="0" borderId="10" applyNumberFormat="0" applyFill="0" applyAlignment="0" applyProtection="0"/>
    <xf numFmtId="0" fontId="153" fillId="0" borderId="54" applyNumberFormat="0" applyFill="0" applyAlignment="0" applyProtection="0"/>
    <xf numFmtId="0" fontId="154" fillId="0" borderId="0">
      <alignment horizontal="left"/>
    </xf>
    <xf numFmtId="0" fontId="7" fillId="0" borderId="0" applyNumberFormat="0" applyFill="0" applyBorder="0" applyAlignment="0" applyProtection="0"/>
    <xf numFmtId="0" fontId="7" fillId="0" borderId="0" applyNumberFormat="0" applyFill="0" applyBorder="0" applyAlignment="0" applyProtection="0"/>
    <xf numFmtId="0" fontId="153" fillId="0" borderId="0" applyNumberFormat="0" applyFill="0" applyBorder="0" applyAlignment="0" applyProtection="0"/>
    <xf numFmtId="0" fontId="97" fillId="0" borderId="0" applyFill="0" applyAlignment="0" applyProtection="0">
      <protection locked="0"/>
    </xf>
    <xf numFmtId="0" fontId="97" fillId="0" borderId="25" applyFill="0" applyAlignment="0" applyProtection="0">
      <protection locked="0"/>
    </xf>
    <xf numFmtId="0" fontId="155" fillId="0" borderId="0"/>
    <xf numFmtId="275" fontId="156" fillId="0" borderId="0">
      <protection locked="0"/>
    </xf>
    <xf numFmtId="255" fontId="25" fillId="0" borderId="0">
      <protection locked="0"/>
    </xf>
    <xf numFmtId="255" fontId="25" fillId="0" borderId="0">
      <protection locked="0"/>
    </xf>
    <xf numFmtId="255" fontId="25" fillId="0" borderId="0">
      <protection locked="0"/>
    </xf>
    <xf numFmtId="255" fontId="25" fillId="0" borderId="0">
      <protection locked="0"/>
    </xf>
    <xf numFmtId="0" fontId="26" fillId="0" borderId="0"/>
    <xf numFmtId="255" fontId="25" fillId="0" borderId="0">
      <protection locked="0"/>
    </xf>
    <xf numFmtId="255" fontId="25" fillId="0" borderId="0">
      <protection locked="0"/>
    </xf>
    <xf numFmtId="255" fontId="25" fillId="0" borderId="0">
      <protection locked="0"/>
    </xf>
    <xf numFmtId="0" fontId="157" fillId="0" borderId="0"/>
    <xf numFmtId="0" fontId="158" fillId="0" borderId="0"/>
    <xf numFmtId="0" fontId="158" fillId="0" borderId="0"/>
    <xf numFmtId="0" fontId="159" fillId="0" borderId="18">
      <alignment horizontal="center"/>
    </xf>
    <xf numFmtId="0" fontId="159" fillId="0" borderId="0">
      <alignment horizontal="center"/>
    </xf>
    <xf numFmtId="0" fontId="25" fillId="0" borderId="0" applyNumberFormat="0" applyFill="0" applyBorder="0" applyProtection="0">
      <alignment wrapText="1"/>
    </xf>
    <xf numFmtId="0" fontId="25" fillId="0" borderId="0" applyNumberFormat="0" applyFill="0" applyBorder="0" applyProtection="0">
      <alignment horizontal="justify" vertical="top" wrapText="1"/>
    </xf>
    <xf numFmtId="0" fontId="59"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26" fillId="0" borderId="0">
      <alignment horizontal="center"/>
    </xf>
    <xf numFmtId="0" fontId="74" fillId="0" borderId="0" applyNumberFormat="0" applyFill="0" applyBorder="0" applyAlignment="0" applyProtection="0">
      <alignment vertical="top"/>
      <protection locked="0"/>
    </xf>
    <xf numFmtId="0" fontId="38" fillId="0" borderId="0"/>
    <xf numFmtId="10" fontId="43" fillId="60" borderId="1" applyNumberFormat="0" applyBorder="0" applyAlignment="0" applyProtection="0"/>
    <xf numFmtId="0" fontId="160" fillId="44" borderId="40" applyNumberFormat="0" applyAlignment="0" applyProtection="0"/>
    <xf numFmtId="0" fontId="160" fillId="44" borderId="40" applyNumberFormat="0" applyAlignment="0" applyProtection="0"/>
    <xf numFmtId="0" fontId="160" fillId="44" borderId="40" applyNumberFormat="0" applyAlignment="0" applyProtection="0"/>
    <xf numFmtId="0" fontId="160" fillId="44" borderId="40" applyNumberFormat="0" applyAlignment="0" applyProtection="0"/>
    <xf numFmtId="0" fontId="160" fillId="44" borderId="40" applyNumberFormat="0" applyAlignment="0" applyProtection="0"/>
    <xf numFmtId="0" fontId="160" fillId="44" borderId="40" applyNumberFormat="0" applyAlignment="0" applyProtection="0"/>
    <xf numFmtId="0" fontId="160" fillId="44" borderId="40" applyNumberFormat="0" applyAlignment="0" applyProtection="0"/>
    <xf numFmtId="0" fontId="160" fillId="44" borderId="40" applyNumberFormat="0" applyAlignment="0" applyProtection="0"/>
    <xf numFmtId="0" fontId="160" fillId="44" borderId="40" applyNumberFormat="0" applyAlignment="0" applyProtection="0"/>
    <xf numFmtId="0" fontId="160" fillId="44" borderId="40" applyNumberFormat="0" applyAlignment="0" applyProtection="0"/>
    <xf numFmtId="0" fontId="11" fillId="6" borderId="11" applyNumberFormat="0" applyAlignment="0" applyProtection="0"/>
    <xf numFmtId="0" fontId="160" fillId="44" borderId="40" applyNumberFormat="0" applyAlignment="0" applyProtection="0"/>
    <xf numFmtId="0" fontId="11" fillId="6" borderId="11" applyNumberFormat="0" applyAlignment="0" applyProtection="0"/>
    <xf numFmtId="0" fontId="11" fillId="6" borderId="11" applyNumberFormat="0" applyAlignment="0" applyProtection="0"/>
    <xf numFmtId="0" fontId="11" fillId="6" borderId="11" applyNumberFormat="0" applyAlignment="0" applyProtection="0"/>
    <xf numFmtId="0" fontId="160" fillId="44" borderId="40" applyNumberFormat="0" applyAlignment="0" applyProtection="0"/>
    <xf numFmtId="0" fontId="160" fillId="44" borderId="40" applyNumberFormat="0" applyAlignment="0" applyProtection="0"/>
    <xf numFmtId="0" fontId="160" fillId="44" borderId="40" applyNumberFormat="0" applyAlignment="0" applyProtection="0"/>
    <xf numFmtId="0" fontId="160" fillId="44" borderId="40" applyNumberFormat="0" applyAlignment="0" applyProtection="0"/>
    <xf numFmtId="13" fontId="79" fillId="0" borderId="49" applyNumberFormat="0" applyFont="0" applyFill="0" applyAlignment="0" applyProtection="0">
      <alignment horizontal="right" wrapText="1"/>
      <protection locked="0"/>
    </xf>
    <xf numFmtId="0" fontId="118" fillId="0" borderId="0" applyFill="0" applyBorder="0" applyProtection="0"/>
    <xf numFmtId="0" fontId="118" fillId="0" borderId="0" applyFill="0" applyBorder="0" applyProtection="0"/>
    <xf numFmtId="276" fontId="43" fillId="0" borderId="0" applyFill="0" applyBorder="0" applyProtection="0"/>
    <xf numFmtId="0" fontId="118" fillId="0" borderId="0" applyFill="0" applyBorder="0" applyProtection="0"/>
    <xf numFmtId="0" fontId="118" fillId="0" borderId="0" applyFill="0" applyBorder="0" applyProtection="0"/>
    <xf numFmtId="0" fontId="161" fillId="0" borderId="0" applyNumberFormat="0" applyFill="0" applyBorder="0" applyAlignment="0">
      <protection locked="0"/>
    </xf>
    <xf numFmtId="0" fontId="121" fillId="0" borderId="0" applyNumberFormat="0" applyFill="0" applyBorder="0" applyAlignment="0"/>
    <xf numFmtId="277" fontId="162" fillId="0" borderId="0" applyFill="0" applyBorder="0" applyProtection="0">
      <alignment vertical="center"/>
    </xf>
    <xf numFmtId="251" fontId="162" fillId="0" borderId="0" applyFill="0" applyBorder="0" applyProtection="0">
      <alignment vertical="center"/>
    </xf>
    <xf numFmtId="37" fontId="102" fillId="53" borderId="0"/>
    <xf numFmtId="278" fontId="162" fillId="0" borderId="0" applyFill="0" applyBorder="0" applyProtection="0">
      <alignment vertical="center"/>
    </xf>
    <xf numFmtId="279" fontId="162" fillId="0" borderId="0" applyFill="0" applyBorder="0" applyProtection="0">
      <alignment vertical="center"/>
    </xf>
    <xf numFmtId="200" fontId="46" fillId="0" borderId="0"/>
    <xf numFmtId="0" fontId="103" fillId="0" borderId="0" applyFont="0" applyAlignment="0">
      <alignment horizontal="justify" vertical="top" wrapText="1"/>
    </xf>
    <xf numFmtId="0" fontId="163"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83" fillId="0" borderId="0" applyNumberFormat="0" applyFill="0" applyBorder="0" applyAlignment="0" applyProtection="0"/>
    <xf numFmtId="0" fontId="41" fillId="0" borderId="0"/>
    <xf numFmtId="0" fontId="164" fillId="68" borderId="44"/>
    <xf numFmtId="0" fontId="43" fillId="0" borderId="0" applyNumberFormat="0" applyFill="0" applyBorder="0" applyProtection="0">
      <alignment horizontal="left"/>
    </xf>
    <xf numFmtId="0" fontId="102" fillId="0" borderId="0" applyNumberFormat="0" applyFill="0" applyBorder="0" applyProtection="0">
      <alignment horizontal="left"/>
    </xf>
    <xf numFmtId="0" fontId="25" fillId="0" borderId="0"/>
    <xf numFmtId="0" fontId="25" fillId="0" borderId="0"/>
    <xf numFmtId="0" fontId="137"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69" fillId="0" borderId="41"/>
    <xf numFmtId="0" fontId="69" fillId="0" borderId="55"/>
    <xf numFmtId="228" fontId="91" fillId="0" borderId="0" applyFill="0" applyBorder="0" applyAlignment="0"/>
    <xf numFmtId="229" fontId="165" fillId="0" borderId="0" applyFill="0" applyBorder="0" applyAlignment="0"/>
    <xf numFmtId="229" fontId="165" fillId="0" borderId="0" applyFill="0" applyBorder="0" applyAlignment="0"/>
    <xf numFmtId="229" fontId="165"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228" fontId="91" fillId="0" borderId="0" applyFill="0" applyBorder="0" applyAlignment="0"/>
    <xf numFmtId="229" fontId="165" fillId="0" borderId="0" applyFill="0" applyBorder="0" applyAlignment="0"/>
    <xf numFmtId="229" fontId="165" fillId="0" borderId="0" applyFill="0" applyBorder="0" applyAlignment="0"/>
    <xf numFmtId="229" fontId="165" fillId="0" borderId="0" applyFill="0" applyBorder="0" applyAlignment="0"/>
    <xf numFmtId="230" fontId="91" fillId="0" borderId="0" applyFill="0" applyBorder="0" applyAlignment="0"/>
    <xf numFmtId="231" fontId="25" fillId="0" borderId="0" applyFill="0" applyBorder="0" applyAlignment="0"/>
    <xf numFmtId="231" fontId="25" fillId="0" borderId="0" applyFill="0" applyBorder="0" applyAlignment="0"/>
    <xf numFmtId="231" fontId="25"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0" fontId="14" fillId="0" borderId="13" applyNumberFormat="0" applyFill="0" applyAlignment="0" applyProtection="0"/>
    <xf numFmtId="0" fontId="14" fillId="0" borderId="13" applyNumberFormat="0" applyFill="0" applyAlignment="0" applyProtection="0"/>
    <xf numFmtId="0" fontId="166" fillId="0" borderId="56" applyNumberFormat="0" applyFill="0" applyAlignment="0" applyProtection="0"/>
    <xf numFmtId="0" fontId="126" fillId="0" borderId="57" applyNumberFormat="0" applyFont="0" applyAlignment="0">
      <alignment horizontal="left" vertical="center" indent="2"/>
    </xf>
    <xf numFmtId="0" fontId="159" fillId="35" borderId="0">
      <alignment horizontal="center"/>
    </xf>
    <xf numFmtId="0" fontId="167" fillId="0" borderId="0">
      <alignment horizontal="center" vertical="center"/>
    </xf>
    <xf numFmtId="280" fontId="25" fillId="0" borderId="0" applyFont="0" applyFill="0" applyBorder="0" applyAlignment="0" applyProtection="0"/>
    <xf numFmtId="43" fontId="25" fillId="0" borderId="0" applyFont="0" applyFill="0" applyBorder="0" applyAlignment="0" applyProtection="0"/>
    <xf numFmtId="281" fontId="25" fillId="0" borderId="0" applyFont="0" applyFill="0" applyBorder="0" applyAlignment="0" applyProtection="0"/>
    <xf numFmtId="43" fontId="25" fillId="0" borderId="0" applyFont="0" applyFill="0" applyBorder="0" applyAlignment="0" applyProtection="0"/>
    <xf numFmtId="0" fontId="168" fillId="0" borderId="18"/>
    <xf numFmtId="282" fontId="42" fillId="0" borderId="0" applyFont="0" applyFill="0" applyBorder="0" applyAlignment="0" applyProtection="0"/>
    <xf numFmtId="283" fontId="27" fillId="0" borderId="0" applyFont="0" applyFill="0" applyBorder="0" applyAlignment="0" applyProtection="0"/>
    <xf numFmtId="284" fontId="25" fillId="0" borderId="0" applyFont="0" applyFill="0" applyBorder="0" applyAlignment="0" applyProtection="0"/>
    <xf numFmtId="285" fontId="25" fillId="0" borderId="0" applyFont="0" applyFill="0" applyBorder="0" applyAlignment="0" applyProtection="0"/>
    <xf numFmtId="286" fontId="25" fillId="0" borderId="0" applyFont="0" applyFill="0" applyBorder="0" applyAlignment="0" applyProtection="0"/>
    <xf numFmtId="287" fontId="25" fillId="0" borderId="0" applyFont="0" applyFill="0" applyBorder="0" applyAlignment="0" applyProtection="0"/>
    <xf numFmtId="0" fontId="125" fillId="0" borderId="0">
      <protection locked="0"/>
    </xf>
    <xf numFmtId="0" fontId="25" fillId="0" borderId="0" applyFont="0" applyFill="0" applyBorder="0" applyAlignment="0" applyProtection="0"/>
    <xf numFmtId="0" fontId="108" fillId="0" borderId="0" applyFont="0" applyFill="0" applyBorder="0" applyAlignment="0" applyProtection="0">
      <alignment horizontal="right"/>
    </xf>
    <xf numFmtId="0" fontId="25" fillId="0" borderId="0" applyFont="0" applyFill="0" applyBorder="0" applyAlignment="0" applyProtection="0"/>
    <xf numFmtId="0" fontId="25" fillId="0" borderId="0"/>
    <xf numFmtId="0" fontId="108" fillId="0" borderId="0" applyFill="0" applyBorder="0" applyProtection="0"/>
    <xf numFmtId="278" fontId="108" fillId="0" borderId="0" applyFill="0" applyBorder="0" applyProtection="0">
      <alignment vertical="center"/>
    </xf>
    <xf numFmtId="288" fontId="108" fillId="0" borderId="0" applyFont="0" applyFill="0" applyBorder="0" applyAlignment="0" applyProtection="0">
      <alignment horizontal="right"/>
    </xf>
    <xf numFmtId="289" fontId="169" fillId="0" borderId="0"/>
    <xf numFmtId="290" fontId="169" fillId="0" borderId="36" applyBorder="0" applyAlignment="0"/>
    <xf numFmtId="291" fontId="169" fillId="0" borderId="0"/>
    <xf numFmtId="292" fontId="169" fillId="0" borderId="0"/>
    <xf numFmtId="0" fontId="10" fillId="5" borderId="0" applyNumberFormat="0" applyBorder="0" applyAlignment="0" applyProtection="0"/>
    <xf numFmtId="0" fontId="10" fillId="5" borderId="0" applyNumberFormat="0" applyBorder="0" applyAlignment="0" applyProtection="0"/>
    <xf numFmtId="0" fontId="170" fillId="44" borderId="0" applyNumberFormat="0" applyBorder="0" applyAlignment="0" applyProtection="0"/>
    <xf numFmtId="0" fontId="171" fillId="69" borderId="0"/>
    <xf numFmtId="0" fontId="35" fillId="70" borderId="0"/>
    <xf numFmtId="0" fontId="172" fillId="0" borderId="0"/>
    <xf numFmtId="293" fontId="173" fillId="0" borderId="0"/>
    <xf numFmtId="293" fontId="173" fillId="0" borderId="0"/>
    <xf numFmtId="37" fontId="25" fillId="0" borderId="0"/>
    <xf numFmtId="0" fontId="38" fillId="0" borderId="0"/>
    <xf numFmtId="0" fontId="151" fillId="0" borderId="0"/>
    <xf numFmtId="294" fontId="25" fillId="0" borderId="0"/>
    <xf numFmtId="0" fontId="41" fillId="0" borderId="0"/>
    <xf numFmtId="0" fontId="25" fillId="0" borderId="0"/>
    <xf numFmtId="0" fontId="41" fillId="0" borderId="0"/>
    <xf numFmtId="0" fontId="41" fillId="0" borderId="0"/>
    <xf numFmtId="0" fontId="69" fillId="0" borderId="0"/>
    <xf numFmtId="0" fontId="69" fillId="0" borderId="0"/>
    <xf numFmtId="0" fontId="69" fillId="0" borderId="0"/>
    <xf numFmtId="0" fontId="69" fillId="0" borderId="0"/>
    <xf numFmtId="0" fontId="69" fillId="0" borderId="0"/>
    <xf numFmtId="0" fontId="69" fillId="0" borderId="0"/>
    <xf numFmtId="0" fontId="69" fillId="0" borderId="0"/>
    <xf numFmtId="0" fontId="108" fillId="0" borderId="0" applyFill="0" applyBorder="0" applyProtection="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 fillId="0" borderId="0"/>
    <xf numFmtId="0" fontId="3"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 fillId="0" borderId="0"/>
    <xf numFmtId="0" fontId="3" fillId="0" borderId="0"/>
    <xf numFmtId="0" fontId="25" fillId="0" borderId="0"/>
    <xf numFmtId="0" fontId="25" fillId="0" borderId="0"/>
    <xf numFmtId="0" fontId="25" fillId="0" borderId="0"/>
    <xf numFmtId="0" fontId="25" fillId="0" borderId="0"/>
    <xf numFmtId="0" fontId="3" fillId="0" borderId="0"/>
    <xf numFmtId="295" fontId="108" fillId="0" borderId="0" applyFill="0" applyBorder="0" applyProtection="0">
      <alignment vertical="center"/>
    </xf>
    <xf numFmtId="0" fontId="25" fillId="0" borderId="0"/>
    <xf numFmtId="0" fontId="151" fillId="0" borderId="0"/>
    <xf numFmtId="0" fontId="174" fillId="0" borderId="0"/>
    <xf numFmtId="243" fontId="126" fillId="0" borderId="0"/>
    <xf numFmtId="0" fontId="3" fillId="9" borderId="15" applyNumberFormat="0" applyFont="0" applyAlignment="0" applyProtection="0"/>
    <xf numFmtId="0" fontId="3" fillId="9" borderId="15" applyNumberFormat="0" applyFont="0" applyAlignment="0" applyProtection="0"/>
    <xf numFmtId="0" fontId="3" fillId="9" borderId="15" applyNumberFormat="0" applyFont="0" applyAlignment="0" applyProtection="0"/>
    <xf numFmtId="0" fontId="25" fillId="50" borderId="58" applyNumberFormat="0" applyFont="0" applyAlignment="0" applyProtection="0"/>
    <xf numFmtId="37" fontId="41" fillId="0" borderId="0" applyFont="0" applyFill="0" applyBorder="0" applyProtection="0">
      <alignment vertical="top"/>
    </xf>
    <xf numFmtId="243" fontId="41" fillId="0" borderId="0" applyFont="0" applyFill="0" applyBorder="0" applyAlignment="0" applyProtection="0">
      <alignment vertical="top"/>
      <protection locked="0"/>
    </xf>
    <xf numFmtId="39" fontId="41" fillId="0" borderId="0" applyFont="0" applyFill="0" applyBorder="0" applyAlignment="0" applyProtection="0">
      <alignment vertical="top"/>
    </xf>
    <xf numFmtId="37" fontId="41" fillId="0" borderId="0" applyFont="0" applyFill="0" applyBorder="0" applyProtection="0">
      <alignment vertical="top"/>
    </xf>
    <xf numFmtId="169" fontId="43" fillId="0" borderId="0" applyFill="0" applyBorder="0" applyProtection="0">
      <alignment horizontal="right" wrapText="1"/>
    </xf>
    <xf numFmtId="169" fontId="102" fillId="0" borderId="0" applyFill="0" applyBorder="0" applyProtection="0">
      <alignment horizontal="right" wrapText="1"/>
    </xf>
    <xf numFmtId="296" fontId="43" fillId="0" borderId="0" applyFill="0" applyBorder="0" applyProtection="0">
      <alignment horizontal="right" wrapText="1"/>
    </xf>
    <xf numFmtId="296" fontId="102" fillId="0" borderId="0" applyFill="0" applyBorder="0" applyProtection="0">
      <alignment horizontal="right" wrapText="1"/>
    </xf>
    <xf numFmtId="243" fontId="175" fillId="0" borderId="0"/>
    <xf numFmtId="297" fontId="25"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169" fontId="43" fillId="0" borderId="0" applyFill="0" applyBorder="0" applyProtection="0">
      <alignment horizontal="right" wrapText="1"/>
    </xf>
    <xf numFmtId="169" fontId="102" fillId="0" borderId="0" applyFill="0" applyBorder="0" applyProtection="0">
      <alignment horizontal="right" wrapText="1"/>
    </xf>
    <xf numFmtId="298" fontId="43" fillId="0" borderId="0" applyFill="0" applyBorder="0" applyProtection="0">
      <alignment horizontal="right" wrapText="1"/>
    </xf>
    <xf numFmtId="298" fontId="102" fillId="0" borderId="0" applyFill="0" applyBorder="0" applyProtection="0">
      <alignment horizontal="right" wrapText="1"/>
    </xf>
    <xf numFmtId="0" fontId="74" fillId="0" borderId="0" applyNumberFormat="0" applyFill="0" applyBorder="0" applyAlignment="0" applyProtection="0">
      <alignment vertical="top"/>
      <protection locked="0"/>
    </xf>
    <xf numFmtId="40" fontId="42" fillId="0" borderId="0" applyFont="0" applyFill="0" applyBorder="0" applyAlignment="0" applyProtection="0"/>
    <xf numFmtId="38" fontId="42" fillId="0" borderId="0" applyFont="0" applyFill="0" applyBorder="0" applyAlignment="0" applyProtection="0"/>
    <xf numFmtId="299" fontId="49" fillId="0" borderId="0" applyBorder="0" applyProtection="0"/>
    <xf numFmtId="0" fontId="25" fillId="0" borderId="0">
      <alignment horizontal="justify" wrapText="1"/>
    </xf>
    <xf numFmtId="0" fontId="176" fillId="0" borderId="0">
      <alignment wrapText="1"/>
    </xf>
    <xf numFmtId="0" fontId="176" fillId="0" borderId="0">
      <alignment wrapText="1"/>
    </xf>
    <xf numFmtId="0" fontId="176" fillId="0" borderId="0">
      <alignment wrapText="1"/>
    </xf>
    <xf numFmtId="0" fontId="177" fillId="0" borderId="0"/>
    <xf numFmtId="0" fontId="177" fillId="0" borderId="0"/>
    <xf numFmtId="3" fontId="25" fillId="0" borderId="0" applyFont="0" applyFill="0" applyBorder="0" applyAlignment="0" applyProtection="0"/>
    <xf numFmtId="3" fontId="25" fillId="0" borderId="0" applyFont="0" applyFill="0" applyBorder="0" applyAlignment="0" applyProtection="0"/>
    <xf numFmtId="0" fontId="12" fillId="7" borderId="12" applyNumberFormat="0" applyAlignment="0" applyProtection="0"/>
    <xf numFmtId="0" fontId="12" fillId="7" borderId="12" applyNumberFormat="0" applyAlignment="0" applyProtection="0"/>
    <xf numFmtId="0" fontId="178" fillId="62" borderId="59" applyNumberFormat="0" applyAlignment="0" applyProtection="0"/>
    <xf numFmtId="40" fontId="179" fillId="71" borderId="0">
      <alignment horizontal="right"/>
    </xf>
    <xf numFmtId="0" fontId="180" fillId="72" borderId="0">
      <alignment horizontal="right"/>
    </xf>
    <xf numFmtId="0" fontId="35" fillId="73" borderId="24"/>
    <xf numFmtId="0" fontId="181" fillId="0" borderId="0" applyBorder="0">
      <alignment horizontal="centerContinuous"/>
    </xf>
    <xf numFmtId="0" fontId="182" fillId="0" borderId="0" applyBorder="0">
      <alignment horizontal="centerContinuous"/>
    </xf>
    <xf numFmtId="37" fontId="121" fillId="0" borderId="45">
      <protection locked="0"/>
    </xf>
    <xf numFmtId="1" fontId="183" fillId="0" borderId="0" applyProtection="0">
      <alignment horizontal="right" vertical="center"/>
    </xf>
    <xf numFmtId="0" fontId="184" fillId="0" borderId="55">
      <alignment vertical="top"/>
    </xf>
    <xf numFmtId="14" fontId="75" fillId="0" borderId="0">
      <alignment horizontal="center" wrapText="1"/>
      <protection locked="0"/>
    </xf>
    <xf numFmtId="300" fontId="25" fillId="0" borderId="0" applyFont="0" applyFill="0" applyBorder="0" applyAlignment="0" applyProtection="0"/>
    <xf numFmtId="226" fontId="91"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9" fontId="46" fillId="0" borderId="0" applyFont="0" applyFill="0" applyBorder="0" applyAlignment="0" applyProtection="0"/>
    <xf numFmtId="301" fontId="91" fillId="0" borderId="0" applyFont="0" applyFill="0" applyBorder="0" applyAlignment="0" applyProtection="0"/>
    <xf numFmtId="302" fontId="25" fillId="0" borderId="0" applyFont="0" applyFill="0" applyBorder="0" applyAlignment="0" applyProtection="0"/>
    <xf numFmtId="302" fontId="25" fillId="0" borderId="0" applyFont="0" applyFill="0" applyBorder="0" applyAlignment="0" applyProtection="0"/>
    <xf numFmtId="302" fontId="25" fillId="0" borderId="0" applyFont="0" applyFill="0" applyBorder="0" applyAlignment="0" applyProtection="0"/>
    <xf numFmtId="274" fontId="46"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10" fontId="25" fillId="0" borderId="0" applyFont="0" applyFill="0" applyBorder="0" applyAlignment="0" applyProtection="0"/>
    <xf numFmtId="9" fontId="3"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85" fillId="0" borderId="0" applyFont="0" applyFill="0" applyBorder="0" applyAlignment="0" applyProtection="0">
      <alignment vertical="center"/>
    </xf>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3" fillId="0" borderId="0" applyFont="0" applyFill="0" applyBorder="0" applyAlignment="0" applyProtection="0"/>
    <xf numFmtId="303" fontId="108" fillId="0" borderId="0" applyFont="0" applyFill="0" applyBorder="0" applyProtection="0">
      <alignment horizontal="right"/>
    </xf>
    <xf numFmtId="304" fontId="118" fillId="0" borderId="0" applyFont="0" applyFill="0" applyBorder="0" applyAlignment="0" applyProtection="0"/>
    <xf numFmtId="279" fontId="108" fillId="0" borderId="0" applyFill="0" applyBorder="0" applyProtection="0">
      <alignment vertical="center"/>
    </xf>
    <xf numFmtId="10" fontId="119" fillId="0" borderId="0"/>
    <xf numFmtId="0" fontId="25" fillId="0" borderId="44"/>
    <xf numFmtId="0" fontId="125" fillId="0" borderId="0">
      <protection locked="0"/>
    </xf>
    <xf numFmtId="10" fontId="25" fillId="0" borderId="0" applyFont="0" applyFill="0" applyBorder="0" applyAlignment="0" applyProtection="0"/>
    <xf numFmtId="228" fontId="91" fillId="0" borderId="0" applyFill="0" applyBorder="0" applyAlignment="0"/>
    <xf numFmtId="229" fontId="29" fillId="0" borderId="0" applyFill="0" applyBorder="0" applyAlignment="0"/>
    <xf numFmtId="229" fontId="29" fillId="0" borderId="0" applyFill="0" applyBorder="0" applyAlignment="0"/>
    <xf numFmtId="229" fontId="29"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228" fontId="91" fillId="0" borderId="0" applyFill="0" applyBorder="0" applyAlignment="0"/>
    <xf numFmtId="229" fontId="29" fillId="0" borderId="0" applyFill="0" applyBorder="0" applyAlignment="0"/>
    <xf numFmtId="229" fontId="29" fillId="0" borderId="0" applyFill="0" applyBorder="0" applyAlignment="0"/>
    <xf numFmtId="229" fontId="29" fillId="0" borderId="0" applyFill="0" applyBorder="0" applyAlignment="0"/>
    <xf numFmtId="230" fontId="91" fillId="0" borderId="0" applyFill="0" applyBorder="0" applyAlignment="0"/>
    <xf numFmtId="231" fontId="25" fillId="0" borderId="0" applyFill="0" applyBorder="0" applyAlignment="0"/>
    <xf numFmtId="231" fontId="25" fillId="0" borderId="0" applyFill="0" applyBorder="0" applyAlignment="0"/>
    <xf numFmtId="231" fontId="25" fillId="0" borderId="0" applyFill="0" applyBorder="0" applyAlignment="0"/>
    <xf numFmtId="189" fontId="91" fillId="0" borderId="0" applyFill="0" applyBorder="0" applyAlignment="0"/>
    <xf numFmtId="222" fontId="25" fillId="0" borderId="0" applyFill="0" applyBorder="0" applyAlignment="0"/>
    <xf numFmtId="222" fontId="25" fillId="0" borderId="0" applyFill="0" applyBorder="0" applyAlignment="0"/>
    <xf numFmtId="222" fontId="25" fillId="0" borderId="0" applyFill="0" applyBorder="0" applyAlignment="0"/>
    <xf numFmtId="0" fontId="25" fillId="0" borderId="0"/>
    <xf numFmtId="0" fontId="25" fillId="0" borderId="0"/>
    <xf numFmtId="0" fontId="25" fillId="0" borderId="0"/>
    <xf numFmtId="0" fontId="43" fillId="0" borderId="0"/>
    <xf numFmtId="0" fontId="42" fillId="0" borderId="0" applyNumberFormat="0" applyFont="0" applyFill="0" applyBorder="0" applyAlignment="0" applyProtection="0">
      <alignment horizontal="left"/>
    </xf>
    <xf numFmtId="15" fontId="42" fillId="0" borderId="0" applyFont="0" applyFill="0" applyBorder="0" applyAlignment="0" applyProtection="0"/>
    <xf numFmtId="4" fontId="42" fillId="0" borderId="0" applyFont="0" applyFill="0" applyBorder="0" applyAlignment="0" applyProtection="0"/>
    <xf numFmtId="37" fontId="34" fillId="0" borderId="0" applyFont="0" applyBorder="0" applyAlignment="0"/>
    <xf numFmtId="0" fontId="88" fillId="0" borderId="18">
      <alignment horizontal="center"/>
    </xf>
    <xf numFmtId="3" fontId="42" fillId="0" borderId="0" applyFont="0" applyFill="0" applyBorder="0" applyAlignment="0" applyProtection="0"/>
    <xf numFmtId="0" fontId="42" fillId="74" borderId="0" applyNumberFormat="0" applyFont="0" applyBorder="0" applyAlignment="0" applyProtection="0"/>
    <xf numFmtId="3" fontId="25" fillId="0" borderId="0" applyFont="0" applyFill="0" applyBorder="0" applyAlignment="0" applyProtection="0"/>
    <xf numFmtId="0" fontId="186" fillId="0" borderId="0" applyNumberFormat="0" applyFill="0" applyBorder="0" applyAlignment="0" applyProtection="0">
      <alignment horizontal="left"/>
    </xf>
    <xf numFmtId="0" fontId="25" fillId="0" borderId="60" applyNumberFormat="0" applyFont="0" applyAlignment="0"/>
    <xf numFmtId="305" fontId="187" fillId="0" borderId="0">
      <alignment horizontal="center"/>
      <protection locked="0"/>
    </xf>
    <xf numFmtId="306" fontId="25" fillId="0" borderId="0" applyFont="0" applyFill="0" applyBorder="0" applyProtection="0">
      <alignment horizontal="right"/>
    </xf>
    <xf numFmtId="164" fontId="25" fillId="0" borderId="0" applyFont="0" applyFill="0" applyBorder="0" applyProtection="0">
      <alignment horizontal="right"/>
    </xf>
    <xf numFmtId="276" fontId="108" fillId="0" borderId="0" applyFont="0" applyFill="0" applyBorder="0" applyProtection="0">
      <alignment horizontal="right"/>
    </xf>
    <xf numFmtId="0" fontId="25" fillId="0" borderId="0"/>
    <xf numFmtId="0" fontId="25" fillId="0" borderId="0"/>
    <xf numFmtId="0" fontId="188" fillId="0" borderId="0"/>
    <xf numFmtId="0" fontId="189" fillId="0" borderId="0" applyNumberFormat="0" applyFill="0" applyBorder="0" applyProtection="0">
      <protection locked="0"/>
    </xf>
    <xf numFmtId="307" fontId="190" fillId="75" borderId="0" applyBorder="0" applyAlignment="0" applyProtection="0"/>
    <xf numFmtId="0" fontId="191" fillId="76" borderId="0" applyNumberFormat="0" applyFont="0" applyBorder="0" applyAlignment="0">
      <alignment horizontal="center"/>
    </xf>
    <xf numFmtId="0" fontId="43" fillId="0" borderId="0"/>
    <xf numFmtId="0" fontId="120" fillId="0" borderId="0"/>
    <xf numFmtId="37" fontId="25" fillId="77" borderId="50" applyFont="0" applyAlignment="0">
      <protection locked="0"/>
    </xf>
    <xf numFmtId="200" fontId="49" fillId="0" borderId="0" applyNumberFormat="0" applyFill="0" applyBorder="0" applyAlignment="0" applyProtection="0">
      <alignment horizontal="left"/>
    </xf>
    <xf numFmtId="38" fontId="49" fillId="0" borderId="0"/>
    <xf numFmtId="0" fontId="192" fillId="0" borderId="0"/>
    <xf numFmtId="189" fontId="193" fillId="0" borderId="0"/>
    <xf numFmtId="253" fontId="25" fillId="78" borderId="50" applyFont="0" applyAlignment="0"/>
    <xf numFmtId="308" fontId="25" fillId="0" borderId="0"/>
    <xf numFmtId="0" fontId="25" fillId="0" borderId="41">
      <alignment horizontal="centerContinuous"/>
    </xf>
    <xf numFmtId="243" fontId="25" fillId="0" borderId="0"/>
    <xf numFmtId="0" fontId="25" fillId="0" borderId="41">
      <protection locked="0"/>
    </xf>
    <xf numFmtId="0" fontId="194" fillId="0" borderId="41">
      <protection locked="0"/>
    </xf>
    <xf numFmtId="0" fontId="194" fillId="0" borderId="41">
      <protection locked="0"/>
    </xf>
    <xf numFmtId="0" fontId="194" fillId="0" borderId="41">
      <protection locked="0"/>
    </xf>
    <xf numFmtId="0" fontId="194" fillId="0" borderId="41">
      <protection locked="0"/>
    </xf>
    <xf numFmtId="0" fontId="194" fillId="0" borderId="41">
      <protection locked="0"/>
    </xf>
    <xf numFmtId="0" fontId="194" fillId="0" borderId="41">
      <protection locked="0"/>
    </xf>
    <xf numFmtId="0" fontId="194" fillId="0" borderId="41">
      <protection locked="0"/>
    </xf>
    <xf numFmtId="0" fontId="194" fillId="0" borderId="41">
      <protection locked="0"/>
    </xf>
    <xf numFmtId="0" fontId="194" fillId="0" borderId="41">
      <protection locked="0"/>
    </xf>
    <xf numFmtId="0" fontId="194" fillId="0" borderId="41">
      <protection locked="0"/>
    </xf>
    <xf numFmtId="0" fontId="194" fillId="0" borderId="41">
      <protection locked="0"/>
    </xf>
    <xf numFmtId="0" fontId="194" fillId="0" borderId="41">
      <protection locked="0"/>
    </xf>
    <xf numFmtId="0" fontId="194" fillId="0" borderId="41">
      <protection locked="0"/>
    </xf>
    <xf numFmtId="0" fontId="194" fillId="0" borderId="41">
      <protection locked="0"/>
    </xf>
    <xf numFmtId="0" fontId="194" fillId="0" borderId="41">
      <protection locked="0"/>
    </xf>
    <xf numFmtId="0" fontId="194" fillId="0" borderId="41">
      <protection locked="0"/>
    </xf>
    <xf numFmtId="0" fontId="25"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243"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0"/>
    <xf numFmtId="0" fontId="194" fillId="0" borderId="41">
      <alignment horizontal="centerContinuous"/>
    </xf>
    <xf numFmtId="0" fontId="194" fillId="0" borderId="41">
      <alignment horizontal="centerContinuous"/>
    </xf>
    <xf numFmtId="0" fontId="194" fillId="0" borderId="41">
      <alignment horizontal="centerContinuous"/>
    </xf>
    <xf numFmtId="0" fontId="194" fillId="0" borderId="41">
      <alignment horizontal="centerContinuous"/>
    </xf>
    <xf numFmtId="0" fontId="194" fillId="0" borderId="41">
      <alignment horizontal="centerContinuous"/>
    </xf>
    <xf numFmtId="0" fontId="194" fillId="0" borderId="41">
      <alignment horizontal="centerContinuous"/>
    </xf>
    <xf numFmtId="0" fontId="194" fillId="0" borderId="41">
      <alignment horizontal="centerContinuous"/>
    </xf>
    <xf numFmtId="0" fontId="194" fillId="0" borderId="41">
      <alignment horizontal="centerContinuous"/>
    </xf>
    <xf numFmtId="0" fontId="194" fillId="0" borderId="41">
      <alignment horizontal="centerContinuous"/>
    </xf>
    <xf numFmtId="0" fontId="194" fillId="0" borderId="41">
      <alignment horizontal="centerContinuous"/>
    </xf>
    <xf numFmtId="0" fontId="194" fillId="0" borderId="41">
      <alignment horizontal="centerContinuous"/>
    </xf>
    <xf numFmtId="0" fontId="194" fillId="0" borderId="41">
      <alignment horizontal="centerContinuous"/>
    </xf>
    <xf numFmtId="0" fontId="194" fillId="0" borderId="41">
      <alignment horizontal="centerContinuous"/>
    </xf>
    <xf numFmtId="0" fontId="194" fillId="0" borderId="41">
      <alignment horizontal="centerContinuous"/>
    </xf>
    <xf numFmtId="0" fontId="194" fillId="0" borderId="41">
      <alignment horizontal="centerContinuous"/>
    </xf>
    <xf numFmtId="0" fontId="194" fillId="0" borderId="41">
      <alignment horizontal="centerContinuous"/>
    </xf>
    <xf numFmtId="0" fontId="139" fillId="0" borderId="61">
      <alignment vertical="center"/>
    </xf>
    <xf numFmtId="0" fontId="25" fillId="0" borderId="0"/>
    <xf numFmtId="0" fontId="103" fillId="0" borderId="0" applyFill="0" applyBorder="0" applyProtection="0">
      <alignment horizontal="left"/>
    </xf>
    <xf numFmtId="0" fontId="195" fillId="77" borderId="0"/>
    <xf numFmtId="0" fontId="25" fillId="60" borderId="62"/>
    <xf numFmtId="0" fontId="25" fillId="60" borderId="62"/>
    <xf numFmtId="0" fontId="25" fillId="60" borderId="62"/>
    <xf numFmtId="0" fontId="25" fillId="60" borderId="62"/>
    <xf numFmtId="38" fontId="42" fillId="0" borderId="0" applyFont="0" applyFill="0" applyBorder="0" applyAlignment="0" applyProtection="0"/>
    <xf numFmtId="41" fontId="25" fillId="0" borderId="0" applyFont="0" applyFill="0" applyBorder="0" applyAlignment="0" applyProtection="0"/>
    <xf numFmtId="43" fontId="25" fillId="0" borderId="0" applyFont="0" applyFill="0" applyBorder="0" applyAlignment="0" applyProtection="0"/>
    <xf numFmtId="0" fontId="191" fillId="1" borderId="21" applyNumberFormat="0" applyFont="0" applyAlignment="0">
      <alignment horizontal="center"/>
    </xf>
    <xf numFmtId="215" fontId="196" fillId="79" borderId="0" applyNumberFormat="0" applyFont="0" applyBorder="0" applyAlignment="0" applyProtection="0">
      <protection locked="0"/>
    </xf>
    <xf numFmtId="0" fontId="25" fillId="0" borderId="0"/>
    <xf numFmtId="243" fontId="43" fillId="0" borderId="0" applyFont="0" applyFill="0" applyBorder="0" applyProtection="0"/>
    <xf numFmtId="0" fontId="25" fillId="0" borderId="27"/>
    <xf numFmtId="309" fontId="197" fillId="0" borderId="2">
      <alignment horizontal="justify" vertical="top" wrapText="1"/>
    </xf>
    <xf numFmtId="0" fontId="198" fillId="0" borderId="0" applyNumberFormat="0" applyFill="0" applyBorder="0" applyAlignment="0">
      <alignment horizontal="center"/>
    </xf>
    <xf numFmtId="0" fontId="39" fillId="0" borderId="0"/>
    <xf numFmtId="0" fontId="25" fillId="0" borderId="0"/>
    <xf numFmtId="12" fontId="25" fillId="0" borderId="0" applyFont="0" applyFill="0" applyBorder="0" applyProtection="0">
      <alignment horizontal="right"/>
    </xf>
    <xf numFmtId="234" fontId="108" fillId="80" borderId="0" applyFont="0" applyFill="0" applyBorder="0" applyProtection="0">
      <alignment horizontal="right"/>
    </xf>
    <xf numFmtId="0" fontId="44" fillId="0" borderId="0"/>
    <xf numFmtId="0" fontId="25" fillId="0" borderId="0"/>
    <xf numFmtId="0" fontId="25" fillId="0" borderId="0">
      <alignment vertical="top"/>
    </xf>
    <xf numFmtId="0" fontId="199" fillId="70" borderId="0" applyNumberFormat="0" applyBorder="0" applyProtection="0"/>
    <xf numFmtId="310" fontId="43" fillId="0" borderId="0" applyFill="0" applyBorder="0" applyProtection="0">
      <alignment horizontal="right" wrapText="1"/>
    </xf>
    <xf numFmtId="310" fontId="43" fillId="0" borderId="0" applyFill="0" applyBorder="0" applyProtection="0">
      <alignment horizontal="right" wrapText="1"/>
    </xf>
    <xf numFmtId="310" fontId="43" fillId="0" borderId="0" applyFill="0" applyBorder="0" applyProtection="0">
      <alignment horizontal="right" wrapText="1"/>
    </xf>
    <xf numFmtId="311" fontId="43" fillId="0" borderId="0" applyFill="0" applyBorder="0" applyProtection="0">
      <alignment horizontal="right" wrapText="1"/>
    </xf>
    <xf numFmtId="0" fontId="200" fillId="70" borderId="0" applyNumberFormat="0" applyBorder="0" applyProtection="0"/>
    <xf numFmtId="0" fontId="201" fillId="0" borderId="0" applyNumberFormat="0" applyFill="0" applyBorder="0" applyProtection="0">
      <alignment vertical="top"/>
    </xf>
    <xf numFmtId="312" fontId="43" fillId="0" borderId="0" applyFill="0" applyBorder="0" applyProtection="0">
      <alignment horizontal="right"/>
    </xf>
    <xf numFmtId="312" fontId="43" fillId="0" borderId="0" applyFill="0" applyBorder="0" applyProtection="0">
      <alignment horizontal="right"/>
    </xf>
    <xf numFmtId="0" fontId="25" fillId="0" borderId="0" applyNumberFormat="0" applyFont="0" applyFill="0" applyBorder="0" applyAlignment="0" applyProtection="0"/>
    <xf numFmtId="0" fontId="43" fillId="0" borderId="0" applyNumberFormat="0" applyFill="0" applyBorder="0" applyProtection="0">
      <alignment horizontal="left" vertical="top" wrapText="1"/>
    </xf>
    <xf numFmtId="164" fontId="43" fillId="0" borderId="0" applyFill="0" applyBorder="0" applyProtection="0">
      <alignment horizontal="right" wrapText="1"/>
    </xf>
    <xf numFmtId="164" fontId="43" fillId="0" borderId="0" applyFill="0" applyBorder="0" applyProtection="0">
      <alignment horizontal="right" wrapText="1"/>
    </xf>
    <xf numFmtId="164" fontId="43" fillId="0" borderId="0" applyFill="0" applyBorder="0" applyProtection="0">
      <alignment horizontal="right" wrapText="1"/>
    </xf>
    <xf numFmtId="4" fontId="43" fillId="0" borderId="0" applyFill="0" applyBorder="0" applyProtection="0">
      <alignment wrapText="1"/>
    </xf>
    <xf numFmtId="0" fontId="25" fillId="0" borderId="0"/>
    <xf numFmtId="0" fontId="43" fillId="0" borderId="0" applyNumberFormat="0" applyFill="0" applyBorder="0" applyProtection="0">
      <alignment horizontal="left" vertical="top" wrapText="1"/>
    </xf>
    <xf numFmtId="0" fontId="102" fillId="0" borderId="0" applyNumberFormat="0" applyFill="0" applyBorder="0" applyProtection="0">
      <alignment horizontal="left" vertical="top" wrapText="1"/>
    </xf>
    <xf numFmtId="313" fontId="202" fillId="0" borderId="0" applyFill="0" applyBorder="0" applyProtection="0">
      <alignment horizontal="center" wrapText="1"/>
    </xf>
    <xf numFmtId="306" fontId="202" fillId="0" borderId="0" applyFill="0" applyBorder="0" applyProtection="0">
      <alignment horizontal="right" wrapText="1"/>
    </xf>
    <xf numFmtId="314" fontId="202" fillId="0" borderId="0" applyFill="0" applyBorder="0" applyProtection="0">
      <alignment horizontal="right" wrapText="1"/>
    </xf>
    <xf numFmtId="315" fontId="202" fillId="0" borderId="0" applyFill="0" applyBorder="0" applyProtection="0">
      <alignment horizontal="right" wrapText="1"/>
    </xf>
    <xf numFmtId="37" fontId="202" fillId="0" borderId="0" applyFill="0" applyBorder="0" applyProtection="0">
      <alignment horizontal="center" wrapText="1"/>
    </xf>
    <xf numFmtId="312" fontId="202" fillId="0" borderId="0" applyFill="0" applyBorder="0" applyProtection="0">
      <alignment horizontal="right"/>
    </xf>
    <xf numFmtId="316" fontId="202" fillId="0" borderId="0" applyFill="0" applyBorder="0" applyProtection="0">
      <alignment horizontal="right"/>
    </xf>
    <xf numFmtId="0" fontId="102" fillId="0" borderId="0" applyNumberFormat="0" applyFill="0" applyBorder="0" applyProtection="0">
      <alignment wrapText="1"/>
    </xf>
    <xf numFmtId="0" fontId="25" fillId="0" borderId="0">
      <alignment vertical="top"/>
    </xf>
    <xf numFmtId="0" fontId="43" fillId="0" borderId="0" applyNumberFormat="0" applyFill="0" applyBorder="0" applyProtection="0">
      <alignment wrapText="1"/>
    </xf>
    <xf numFmtId="3" fontId="43" fillId="0" borderId="0" applyFill="0" applyBorder="0" applyProtection="0">
      <alignment horizontal="right" vertical="top" wrapText="1"/>
    </xf>
    <xf numFmtId="0" fontId="43" fillId="0" borderId="0" applyNumberFormat="0" applyFill="0" applyBorder="0" applyProtection="0">
      <alignment horizontal="right" wrapText="1"/>
    </xf>
    <xf numFmtId="0" fontId="43" fillId="0" borderId="0" applyNumberFormat="0" applyFill="0" applyBorder="0" applyProtection="0">
      <alignment horizontal="right" wrapText="1"/>
    </xf>
    <xf numFmtId="0" fontId="43" fillId="0" borderId="0" applyNumberFormat="0" applyFill="0" applyBorder="0" applyProtection="0">
      <alignment horizontal="right" wrapText="1"/>
    </xf>
    <xf numFmtId="0" fontId="43" fillId="0" borderId="0" applyNumberFormat="0" applyFill="0" applyBorder="0" applyProtection="0">
      <alignment horizontal="left" vertical="top" wrapText="1"/>
    </xf>
    <xf numFmtId="0" fontId="157" fillId="0" borderId="39" applyNumberFormat="0" applyFill="0" applyProtection="0">
      <alignment horizontal="left" wrapText="1"/>
    </xf>
    <xf numFmtId="0" fontId="157" fillId="0" borderId="0" applyNumberFormat="0" applyFill="0" applyBorder="0" applyProtection="0">
      <alignment horizontal="right" wrapText="1"/>
    </xf>
    <xf numFmtId="317" fontId="43" fillId="0" borderId="0" applyFill="0" applyBorder="0" applyProtection="0">
      <alignment horizontal="right" wrapText="1"/>
    </xf>
    <xf numFmtId="318" fontId="43" fillId="0" borderId="0" applyFill="0" applyBorder="0" applyProtection="0">
      <alignment horizontal="right" wrapText="1"/>
    </xf>
    <xf numFmtId="0" fontId="43" fillId="0" borderId="0" applyNumberFormat="0" applyFill="0" applyBorder="0" applyProtection="0">
      <alignment horizontal="left" vertical="top"/>
    </xf>
    <xf numFmtId="4" fontId="43" fillId="0" borderId="0" applyFill="0" applyBorder="0" applyProtection="0">
      <alignment horizontal="right" wrapText="1"/>
    </xf>
    <xf numFmtId="4" fontId="43" fillId="0" borderId="0" applyFill="0" applyBorder="0" applyProtection="0">
      <alignment horizontal="right" wrapText="1"/>
    </xf>
    <xf numFmtId="4" fontId="43" fillId="0" borderId="0" applyFill="0" applyBorder="0" applyProtection="0">
      <alignment horizontal="right" wrapText="1"/>
    </xf>
    <xf numFmtId="318" fontId="43" fillId="0" borderId="0" applyFill="0" applyBorder="0" applyProtection="0">
      <alignment horizontal="right" wrapText="1"/>
    </xf>
    <xf numFmtId="3" fontId="43" fillId="0" borderId="0" applyFill="0" applyBorder="0" applyProtection="0">
      <alignment horizontal="right" wrapText="1"/>
    </xf>
    <xf numFmtId="0" fontId="25" fillId="0" borderId="0">
      <alignment vertical="top"/>
    </xf>
    <xf numFmtId="44" fontId="43" fillId="0" borderId="0" applyFill="0" applyBorder="0" applyProtection="0">
      <alignment horizontal="right" wrapText="1"/>
    </xf>
    <xf numFmtId="44" fontId="102" fillId="0" borderId="0" applyFill="0" applyBorder="0" applyProtection="0">
      <alignment horizontal="right" wrapText="1"/>
    </xf>
    <xf numFmtId="319" fontId="43" fillId="0" borderId="0" applyFill="0" applyBorder="0" applyProtection="0">
      <alignment horizontal="right" wrapText="1"/>
    </xf>
    <xf numFmtId="319" fontId="102" fillId="0" borderId="0" applyFill="0" applyBorder="0" applyProtection="0">
      <alignment horizontal="right" wrapText="1"/>
    </xf>
    <xf numFmtId="44" fontId="203" fillId="0" borderId="0" applyFill="0" applyBorder="0" applyProtection="0">
      <alignment horizontal="right" wrapText="1"/>
    </xf>
    <xf numFmtId="320" fontId="43" fillId="0" borderId="0" applyFill="0" applyBorder="0" applyProtection="0">
      <alignment horizontal="right" wrapText="1"/>
    </xf>
    <xf numFmtId="0" fontId="204" fillId="0" borderId="0" applyNumberFormat="0" applyFill="0" applyBorder="0" applyProtection="0">
      <alignment horizontal="center" vertical="top" wrapText="1"/>
    </xf>
    <xf numFmtId="0" fontId="204" fillId="0" borderId="0" applyNumberFormat="0" applyFill="0" applyBorder="0" applyProtection="0">
      <alignment horizontal="center" wrapText="1"/>
    </xf>
    <xf numFmtId="0" fontId="205" fillId="0" borderId="0" applyNumberFormat="0" applyFill="0" applyBorder="0" applyProtection="0">
      <alignment horizontal="left" vertical="top" wrapText="1"/>
    </xf>
    <xf numFmtId="0" fontId="199" fillId="69" borderId="0" applyNumberFormat="0" applyBorder="0" applyProtection="0">
      <alignment horizontal="left" wrapText="1"/>
    </xf>
    <xf numFmtId="0" fontId="199" fillId="69" borderId="0" applyNumberFormat="0" applyBorder="0" applyProtection="0">
      <alignment horizontal="left"/>
    </xf>
    <xf numFmtId="0" fontId="199" fillId="69" borderId="0" applyNumberFormat="0" applyBorder="0" applyProtection="0">
      <alignment horizontal="right"/>
    </xf>
    <xf numFmtId="0" fontId="200" fillId="70" borderId="0" applyNumberFormat="0" applyBorder="0" applyProtection="0">
      <alignment vertical="top" wrapText="1"/>
    </xf>
    <xf numFmtId="258" fontId="200" fillId="70" borderId="0" applyBorder="0" applyProtection="0">
      <alignment vertical="top" wrapText="1"/>
    </xf>
    <xf numFmtId="4" fontId="43" fillId="0" borderId="0" applyFill="0" applyBorder="0" applyProtection="0">
      <alignment horizontal="left" vertical="top"/>
    </xf>
    <xf numFmtId="258" fontId="43" fillId="0" borderId="0" applyFill="0" applyBorder="0" applyProtection="0">
      <alignment horizontal="right"/>
    </xf>
    <xf numFmtId="3" fontId="43" fillId="0" borderId="0" applyFill="0" applyBorder="0" applyProtection="0">
      <alignment horizontal="right"/>
    </xf>
    <xf numFmtId="3" fontId="43" fillId="0" borderId="0" applyFill="0" applyBorder="0" applyProtection="0">
      <alignment horizontal="center"/>
    </xf>
    <xf numFmtId="318" fontId="43" fillId="0" borderId="0" applyFill="0" applyBorder="0" applyProtection="0">
      <alignment horizontal="right"/>
    </xf>
    <xf numFmtId="318" fontId="102" fillId="0" borderId="0" applyFill="0" applyBorder="0" applyProtection="0">
      <alignment horizontal="right"/>
    </xf>
    <xf numFmtId="318" fontId="204" fillId="0" borderId="0" applyFill="0" applyBorder="0" applyProtection="0">
      <alignment horizontal="right"/>
    </xf>
    <xf numFmtId="318" fontId="205" fillId="0" borderId="0" applyFill="0" applyBorder="0" applyProtection="0">
      <alignment horizontal="right"/>
    </xf>
    <xf numFmtId="4" fontId="102" fillId="0" borderId="0" applyFill="0" applyBorder="0" applyProtection="0">
      <alignment horizontal="right"/>
    </xf>
    <xf numFmtId="4" fontId="204" fillId="0" borderId="0" applyFill="0" applyBorder="0" applyProtection="0">
      <alignment horizontal="right"/>
    </xf>
    <xf numFmtId="4" fontId="205" fillId="0" borderId="0" applyFill="0" applyBorder="0" applyProtection="0">
      <alignment horizontal="right"/>
    </xf>
    <xf numFmtId="253" fontId="43" fillId="0" borderId="0" applyFill="0" applyBorder="0" applyProtection="0">
      <alignment horizontal="right" vertical="top" wrapText="1"/>
    </xf>
    <xf numFmtId="0" fontId="112" fillId="0" borderId="39" applyNumberFormat="0" applyFill="0" applyProtection="0">
      <alignment horizontal="left" vertical="top"/>
    </xf>
    <xf numFmtId="4" fontId="43" fillId="0" borderId="0" applyFill="0" applyBorder="0" applyProtection="0">
      <alignment horizontal="left"/>
    </xf>
    <xf numFmtId="4" fontId="43" fillId="0" borderId="0" applyFill="0" applyBorder="0" applyProtection="0">
      <alignment horizontal="right"/>
    </xf>
    <xf numFmtId="4" fontId="43" fillId="0" borderId="0" applyFill="0" applyBorder="0" applyProtection="0">
      <alignment horizontal="center"/>
    </xf>
    <xf numFmtId="312" fontId="43" fillId="0" borderId="0" applyFill="0" applyBorder="0" applyProtection="0">
      <alignment horizontal="right"/>
    </xf>
    <xf numFmtId="319" fontId="43" fillId="0" borderId="0" applyFill="0" applyBorder="0" applyProtection="0">
      <alignment horizontal="right"/>
    </xf>
    <xf numFmtId="321" fontId="43" fillId="0" borderId="0" applyFill="0" applyBorder="0" applyProtection="0">
      <alignment horizontal="right"/>
    </xf>
    <xf numFmtId="200" fontId="43" fillId="0" borderId="0" applyFill="0" applyBorder="0" applyProtection="0">
      <alignment horizontal="right"/>
    </xf>
    <xf numFmtId="322" fontId="43" fillId="0" borderId="0" applyFill="0" applyBorder="0" applyProtection="0">
      <alignment horizontal="right"/>
    </xf>
    <xf numFmtId="4" fontId="43" fillId="0" borderId="0" applyFill="0" applyBorder="0" applyProtection="0">
      <alignment horizontal="center"/>
    </xf>
    <xf numFmtId="318" fontId="43" fillId="0" borderId="0" applyFill="0" applyBorder="0" applyProtection="0">
      <alignment horizontal="center"/>
    </xf>
    <xf numFmtId="0" fontId="43" fillId="0" borderId="0" applyNumberFormat="0" applyFill="0" applyBorder="0" applyProtection="0">
      <alignment horizontal="left" vertical="top" wrapText="1"/>
    </xf>
    <xf numFmtId="319" fontId="202" fillId="0" borderId="0" applyFill="0" applyBorder="0" applyProtection="0">
      <alignment horizontal="right"/>
    </xf>
    <xf numFmtId="312" fontId="202" fillId="0" borderId="0" applyFill="0" applyBorder="0" applyProtection="0">
      <alignment horizontal="right"/>
    </xf>
    <xf numFmtId="321" fontId="202" fillId="0" borderId="0" applyFill="0" applyBorder="0" applyProtection="0">
      <alignment horizontal="right"/>
    </xf>
    <xf numFmtId="323" fontId="202" fillId="0" borderId="0" applyFill="0" applyBorder="0" applyProtection="0">
      <alignment horizontal="right"/>
    </xf>
    <xf numFmtId="0" fontId="90" fillId="0" borderId="0" applyNumberFormat="0" applyFill="0" applyBorder="0" applyProtection="0">
      <alignment horizontal="left"/>
    </xf>
    <xf numFmtId="0" fontId="102" fillId="0" borderId="39" applyNumberFormat="0" applyFill="0" applyProtection="0"/>
    <xf numFmtId="0" fontId="26" fillId="0" borderId="0" applyNumberFormat="0" applyFill="0" applyBorder="0" applyProtection="0"/>
    <xf numFmtId="0" fontId="102" fillId="0" borderId="39" applyNumberFormat="0" applyFill="0" applyProtection="0">
      <alignment horizontal="center" wrapText="1"/>
    </xf>
    <xf numFmtId="0" fontId="102" fillId="0" borderId="0" applyNumberFormat="0" applyFill="0" applyBorder="0" applyProtection="0">
      <alignment horizontal="center"/>
    </xf>
    <xf numFmtId="0" fontId="102" fillId="0" borderId="0" applyNumberFormat="0" applyFill="0" applyBorder="0" applyProtection="0"/>
    <xf numFmtId="0" fontId="27" fillId="0" borderId="0" applyNumberFormat="0" applyBorder="0" applyAlignment="0"/>
    <xf numFmtId="0" fontId="206" fillId="53" borderId="0" applyNumberFormat="0" applyBorder="0" applyAlignment="0"/>
    <xf numFmtId="0" fontId="206" fillId="0" borderId="0" applyNumberFormat="0" applyBorder="0" applyAlignment="0"/>
    <xf numFmtId="0" fontId="28" fillId="0" borderId="0" applyNumberFormat="0" applyBorder="0" applyAlignment="0"/>
    <xf numFmtId="0" fontId="28" fillId="0" borderId="0" applyNumberFormat="0" applyBorder="0" applyAlignment="0"/>
    <xf numFmtId="0" fontId="207" fillId="0" borderId="0" applyNumberFormat="0" applyBorder="0" applyAlignment="0"/>
    <xf numFmtId="0" fontId="207" fillId="0" borderId="0" applyNumberFormat="0" applyBorder="0" applyAlignment="0"/>
    <xf numFmtId="0" fontId="85" fillId="81" borderId="0">
      <alignment horizontal="center"/>
    </xf>
    <xf numFmtId="0" fontId="25" fillId="0" borderId="19"/>
    <xf numFmtId="0" fontId="208" fillId="53" borderId="0">
      <alignment horizontal="centerContinuous"/>
    </xf>
    <xf numFmtId="0" fontId="209" fillId="53" borderId="0">
      <alignment horizontal="centerContinuous"/>
    </xf>
    <xf numFmtId="0" fontId="168" fillId="0" borderId="0"/>
    <xf numFmtId="0" fontId="210" fillId="0" borderId="0"/>
    <xf numFmtId="40" fontId="211" fillId="0" borderId="0" applyBorder="0">
      <alignment horizontal="right"/>
    </xf>
    <xf numFmtId="37" fontId="25" fillId="0" borderId="0" applyFont="0" applyFill="0" applyBorder="0" applyAlignment="0"/>
    <xf numFmtId="0" fontId="212" fillId="0" borderId="0"/>
    <xf numFmtId="0" fontId="213" fillId="0" borderId="1">
      <alignment horizontal="left" vertical="top"/>
      <protection locked="0"/>
    </xf>
    <xf numFmtId="0" fontId="120" fillId="0" borderId="44"/>
    <xf numFmtId="0" fontId="214" fillId="0" borderId="0" applyBorder="0" applyProtection="0">
      <alignment vertical="center"/>
    </xf>
    <xf numFmtId="0" fontId="214" fillId="0" borderId="25" applyBorder="0" applyProtection="0">
      <alignment horizontal="right" vertical="center"/>
    </xf>
    <xf numFmtId="0" fontId="215" fillId="66" borderId="0" applyBorder="0" applyProtection="0">
      <alignment horizontal="centerContinuous" vertical="center"/>
    </xf>
    <xf numFmtId="0" fontId="215" fillId="82" borderId="25" applyBorder="0" applyProtection="0">
      <alignment horizontal="centerContinuous" vertical="center"/>
    </xf>
    <xf numFmtId="0" fontId="216" fillId="0" borderId="0" applyNumberFormat="0" applyFill="0" applyBorder="0" applyProtection="0">
      <alignment horizontal="left"/>
    </xf>
    <xf numFmtId="0" fontId="102" fillId="0" borderId="0" applyBorder="0" applyProtection="0">
      <alignment horizontal="left"/>
    </xf>
    <xf numFmtId="0" fontId="140" fillId="0" borderId="0" applyNumberFormat="0" applyFill="0" applyBorder="0" applyProtection="0">
      <alignment horizontal="left"/>
    </xf>
    <xf numFmtId="0" fontId="157" fillId="0" borderId="0" applyFill="0" applyBorder="0" applyProtection="0"/>
    <xf numFmtId="0" fontId="151" fillId="0" borderId="0"/>
    <xf numFmtId="0" fontId="217" fillId="0" borderId="0" applyFill="0" applyBorder="0" applyProtection="0">
      <alignment horizontal="left"/>
    </xf>
    <xf numFmtId="0" fontId="140" fillId="0" borderId="26" applyFill="0" applyBorder="0" applyProtection="0">
      <alignment horizontal="left" vertical="top"/>
    </xf>
    <xf numFmtId="0" fontId="218" fillId="0" borderId="0">
      <alignment horizontal="centerContinuous"/>
    </xf>
    <xf numFmtId="0" fontId="25" fillId="0" borderId="0"/>
    <xf numFmtId="0" fontId="25" fillId="0" borderId="0"/>
    <xf numFmtId="0" fontId="43" fillId="0" borderId="0"/>
    <xf numFmtId="49" fontId="25" fillId="0" borderId="0" applyFont="0" applyAlignment="0"/>
    <xf numFmtId="0" fontId="219" fillId="0" borderId="0"/>
    <xf numFmtId="0" fontId="50" fillId="0" borderId="0" applyNumberFormat="0" applyFill="0" applyBorder="0" applyProtection="0"/>
    <xf numFmtId="0" fontId="220" fillId="0" borderId="0" applyFill="0" applyBorder="0" applyProtection="0"/>
    <xf numFmtId="0" fontId="221" fillId="0" borderId="0"/>
    <xf numFmtId="0" fontId="220" fillId="0" borderId="0" applyNumberFormat="0" applyFill="0" applyBorder="0" applyProtection="0"/>
    <xf numFmtId="0" fontId="222" fillId="0" borderId="0" applyFill="0" applyBorder="0" applyProtection="0"/>
    <xf numFmtId="0" fontId="50" fillId="0" borderId="0" applyNumberFormat="0" applyFill="0" applyBorder="0" applyProtection="0"/>
    <xf numFmtId="0" fontId="50" fillId="0" borderId="0"/>
    <xf numFmtId="49" fontId="27" fillId="0" borderId="0" applyFill="0" applyBorder="0" applyAlignment="0"/>
    <xf numFmtId="324" fontId="91" fillId="0" borderId="0" applyFill="0" applyBorder="0" applyAlignment="0"/>
    <xf numFmtId="325" fontId="25" fillId="0" borderId="0" applyFill="0" applyBorder="0" applyAlignment="0"/>
    <xf numFmtId="325" fontId="25" fillId="0" borderId="0" applyFill="0" applyBorder="0" applyAlignment="0"/>
    <xf numFmtId="325" fontId="25" fillId="0" borderId="0" applyFill="0" applyBorder="0" applyAlignment="0"/>
    <xf numFmtId="326" fontId="91" fillId="0" borderId="0" applyFill="0" applyBorder="0" applyAlignment="0"/>
    <xf numFmtId="327" fontId="25" fillId="0" borderId="0" applyFill="0" applyBorder="0" applyAlignment="0"/>
    <xf numFmtId="327" fontId="25" fillId="0" borderId="0" applyFill="0" applyBorder="0" applyAlignment="0"/>
    <xf numFmtId="327" fontId="25" fillId="0" borderId="0" applyFill="0" applyBorder="0" applyAlignment="0"/>
    <xf numFmtId="0" fontId="219" fillId="0" borderId="26" applyFill="0" applyBorder="0" applyProtection="0"/>
    <xf numFmtId="0" fontId="200" fillId="0" borderId="0">
      <alignment vertical="top"/>
    </xf>
    <xf numFmtId="0" fontId="223" fillId="0" borderId="0"/>
    <xf numFmtId="0" fontId="201" fillId="0" borderId="0">
      <alignment vertical="top"/>
    </xf>
    <xf numFmtId="0" fontId="25" fillId="0" borderId="0"/>
    <xf numFmtId="0" fontId="25" fillId="0" borderId="0"/>
    <xf numFmtId="0" fontId="224" fillId="0" borderId="0" applyFill="0" applyBorder="0" applyProtection="0">
      <alignment horizontal="left" vertical="top"/>
    </xf>
    <xf numFmtId="0" fontId="46" fillId="0" borderId="0" applyNumberFormat="0" applyFill="0" applyBorder="0" applyAlignment="0" applyProtection="0"/>
    <xf numFmtId="0" fontId="41" fillId="0" borderId="0">
      <alignment horizontal="center"/>
    </xf>
    <xf numFmtId="0" fontId="225" fillId="83" borderId="0"/>
    <xf numFmtId="0" fontId="25" fillId="0" borderId="0" applyNumberFormat="0" applyFill="0" applyBorder="0" applyAlignment="0" applyProtection="0"/>
    <xf numFmtId="0" fontId="25"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226" fillId="0" borderId="0" applyNumberFormat="0" applyFill="0" applyBorder="0" applyAlignment="0" applyProtection="0"/>
    <xf numFmtId="0" fontId="35" fillId="84" borderId="0" applyNumberFormat="0" applyBorder="0"/>
    <xf numFmtId="0" fontId="227" fillId="0" borderId="0">
      <alignment vertical="top"/>
    </xf>
    <xf numFmtId="0" fontId="25" fillId="0" borderId="0" applyNumberFormat="0" applyFill="0" applyBorder="0" applyAlignment="0" applyProtection="0"/>
    <xf numFmtId="0" fontId="25" fillId="0" borderId="0" applyNumberFormat="0" applyFill="0" applyBorder="0" applyAlignment="0" applyProtection="0"/>
    <xf numFmtId="189" fontId="228" fillId="0" borderId="63"/>
    <xf numFmtId="243" fontId="25" fillId="85" borderId="0" applyFill="0" applyBorder="0" applyAlignment="0" applyProtection="0">
      <alignment horizontal="left"/>
    </xf>
    <xf numFmtId="243" fontId="25" fillId="0" borderId="0" applyFill="0" applyBorder="0" applyAlignment="0" applyProtection="0">
      <alignment horizontal="left"/>
    </xf>
    <xf numFmtId="0" fontId="220" fillId="0" borderId="0"/>
    <xf numFmtId="0" fontId="50" fillId="0" borderId="0"/>
    <xf numFmtId="0" fontId="229" fillId="0" borderId="0" applyFill="0" applyBorder="0" applyAlignment="0" applyProtection="0"/>
    <xf numFmtId="0" fontId="1" fillId="0" borderId="16" applyNumberFormat="0" applyFill="0" applyAlignment="0" applyProtection="0"/>
    <xf numFmtId="0" fontId="1" fillId="0" borderId="16" applyNumberFormat="0" applyFill="0" applyAlignment="0" applyProtection="0"/>
    <xf numFmtId="0" fontId="22" fillId="0" borderId="64" applyNumberFormat="0" applyFill="0" applyAlignment="0" applyProtection="0"/>
    <xf numFmtId="0" fontId="146" fillId="0" borderId="0" applyFill="0" applyBorder="0" applyProtection="0"/>
    <xf numFmtId="0" fontId="146" fillId="0" borderId="0" applyFill="0" applyBorder="0" applyProtection="0"/>
    <xf numFmtId="328" fontId="41" fillId="0" borderId="0" applyFill="0" applyAlignment="0" applyProtection="0"/>
    <xf numFmtId="0" fontId="69" fillId="0" borderId="65"/>
    <xf numFmtId="277" fontId="146" fillId="0" borderId="48" applyFill="0" applyBorder="0" applyProtection="0">
      <alignment vertical="center"/>
    </xf>
    <xf numFmtId="0" fontId="164" fillId="0" borderId="66"/>
    <xf numFmtId="0" fontId="164" fillId="0" borderId="44"/>
    <xf numFmtId="0" fontId="25" fillId="0" borderId="0"/>
    <xf numFmtId="0" fontId="25" fillId="0" borderId="0"/>
    <xf numFmtId="189" fontId="25" fillId="0" borderId="0">
      <alignment horizontal="left"/>
      <protection locked="0"/>
    </xf>
    <xf numFmtId="0" fontId="230" fillId="0" borderId="0">
      <alignment horizontal="fill"/>
    </xf>
    <xf numFmtId="0" fontId="25" fillId="0" borderId="0"/>
    <xf numFmtId="0" fontId="25" fillId="0" borderId="0"/>
    <xf numFmtId="0" fontId="25" fillId="0" borderId="0"/>
    <xf numFmtId="0" fontId="25" fillId="0" borderId="0"/>
    <xf numFmtId="0" fontId="231" fillId="59" borderId="67">
      <alignment horizontal="left"/>
    </xf>
    <xf numFmtId="0" fontId="25" fillId="0" borderId="0"/>
    <xf numFmtId="0" fontId="89" fillId="34" borderId="0" applyFont="0" applyFill="0">
      <alignment horizontal="center"/>
    </xf>
    <xf numFmtId="0" fontId="89" fillId="34" borderId="0" applyFont="0" applyFill="0">
      <alignment horizontal="center"/>
    </xf>
    <xf numFmtId="0" fontId="89" fillId="34" borderId="0" applyFont="0" applyFill="0">
      <alignment horizontal="center"/>
    </xf>
    <xf numFmtId="0" fontId="157" fillId="0" borderId="0">
      <alignment horizontal="center" textRotation="90"/>
    </xf>
    <xf numFmtId="42" fontId="128" fillId="0" borderId="0" applyFont="0" applyFill="0" applyBorder="0" applyAlignment="0" applyProtection="0"/>
    <xf numFmtId="44" fontId="128" fillId="0" borderId="0" applyFon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24" fillId="0" borderId="0" applyNumberFormat="0" applyFill="0" applyBorder="0" applyAlignment="0" applyProtection="0"/>
    <xf numFmtId="329" fontId="201" fillId="0" borderId="0"/>
    <xf numFmtId="0" fontId="232" fillId="34" borderId="0">
      <alignment horizontal="center"/>
    </xf>
    <xf numFmtId="49" fontId="233" fillId="0" borderId="0" applyFill="0" applyBorder="0" applyAlignment="0" applyProtection="0"/>
    <xf numFmtId="330" fontId="234" fillId="0" borderId="25" applyBorder="0" applyProtection="0">
      <alignment horizontal="right"/>
    </xf>
    <xf numFmtId="0" fontId="91" fillId="68" borderId="0" applyNumberFormat="0" applyFont="0" applyBorder="0" applyAlignment="0" applyProtection="0"/>
    <xf numFmtId="0" fontId="235" fillId="0" borderId="0" applyNumberFormat="0" applyFill="0" applyBorder="0" applyAlignment="0" applyProtection="0">
      <alignment vertical="top"/>
      <protection locked="0"/>
    </xf>
    <xf numFmtId="0" fontId="40" fillId="0" borderId="0"/>
    <xf numFmtId="0" fontId="236" fillId="0" borderId="0" applyNumberFormat="0" applyFill="0" applyBorder="0" applyAlignment="0" applyProtection="0">
      <alignment vertical="top"/>
      <protection locked="0"/>
    </xf>
    <xf numFmtId="189" fontId="120" fillId="0" borderId="0"/>
    <xf numFmtId="43" fontId="25" fillId="0" borderId="0" applyFont="0" applyFill="0" applyBorder="0" applyAlignment="0" applyProtection="0"/>
    <xf numFmtId="245" fontId="25" fillId="0" borderId="0" applyFill="0" applyBorder="0" applyAlignment="0"/>
    <xf numFmtId="0" fontId="74" fillId="0" borderId="0" applyNumberFormat="0" applyFill="0" applyBorder="0" applyAlignment="0" applyProtection="0">
      <alignment vertical="top"/>
      <protection locked="0"/>
    </xf>
    <xf numFmtId="331" fontId="108" fillId="0" borderId="0" applyFont="0" applyFill="0" applyBorder="0" applyAlignment="0" applyProtection="0">
      <alignment horizontal="right"/>
    </xf>
    <xf numFmtId="0" fontId="237" fillId="0" borderId="0"/>
    <xf numFmtId="0" fontId="25" fillId="0" borderId="0" applyFont="0" applyFill="0" applyBorder="0" applyAlignment="0" applyProtection="0"/>
    <xf numFmtId="43" fontId="25" fillId="0" borderId="0" applyFont="0" applyFill="0" applyBorder="0" applyAlignment="0" applyProtection="0"/>
    <xf numFmtId="179" fontId="72" fillId="0" borderId="0" applyFont="0" applyFill="0" applyBorder="0" applyAlignment="0" applyProtection="0"/>
    <xf numFmtId="214" fontId="72" fillId="0" borderId="0" applyFont="0" applyFill="0" applyBorder="0" applyAlignment="0" applyProtection="0"/>
    <xf numFmtId="199" fontId="108" fillId="0" borderId="0" applyFont="0" applyFill="0" applyBorder="0" applyAlignment="0" applyProtection="0"/>
    <xf numFmtId="332" fontId="108" fillId="0" borderId="0" applyFont="0" applyFill="0" applyBorder="0" applyAlignment="0" applyProtection="0"/>
    <xf numFmtId="0" fontId="238" fillId="0" borderId="0"/>
    <xf numFmtId="0" fontId="46" fillId="0" borderId="0"/>
    <xf numFmtId="179" fontId="39" fillId="0" borderId="0" applyFont="0" applyFill="0" applyBorder="0" applyAlignment="0" applyProtection="0"/>
    <xf numFmtId="214" fontId="39" fillId="0" borderId="0" applyFont="0" applyFill="0" applyBorder="0" applyAlignment="0" applyProtection="0"/>
    <xf numFmtId="0" fontId="25" fillId="0" borderId="0" applyBorder="0"/>
    <xf numFmtId="0" fontId="239" fillId="0" borderId="0"/>
    <xf numFmtId="40" fontId="25" fillId="0" borderId="0" applyFont="0" applyFill="0" applyBorder="0" applyAlignment="0" applyProtection="0"/>
    <xf numFmtId="38" fontId="25" fillId="0" borderId="0" applyFont="0" applyFill="0" applyBorder="0" applyAlignment="0" applyProtection="0"/>
    <xf numFmtId="0" fontId="25" fillId="0" borderId="0"/>
    <xf numFmtId="0" fontId="240" fillId="0" borderId="0" applyNumberFormat="0" applyFill="0" applyBorder="0" applyAlignment="0" applyProtection="0">
      <alignment vertical="top"/>
      <protection locked="0"/>
    </xf>
    <xf numFmtId="199" fontId="39" fillId="0" borderId="0" applyFont="0" applyFill="0" applyBorder="0" applyAlignment="0" applyProtection="0"/>
    <xf numFmtId="6" fontId="42" fillId="0" borderId="0" applyFont="0" applyFill="0" applyBorder="0" applyAlignment="0" applyProtection="0"/>
    <xf numFmtId="333" fontId="39" fillId="0" borderId="0" applyFont="0" applyFill="0" applyBorder="0" applyAlignment="0" applyProtection="0"/>
    <xf numFmtId="0" fontId="241" fillId="0" borderId="0" applyNumberFormat="0" applyFill="0" applyBorder="0" applyAlignment="0" applyProtection="0">
      <alignment vertical="top"/>
      <protection locked="0"/>
    </xf>
    <xf numFmtId="334" fontId="25" fillId="0" borderId="0" applyFont="0" applyFill="0" applyBorder="0" applyAlignment="0" applyProtection="0"/>
    <xf numFmtId="335" fontId="25" fillId="0" borderId="0" applyFont="0" applyFill="0" applyBorder="0" applyAlignment="0" applyProtection="0"/>
    <xf numFmtId="0" fontId="242" fillId="0" borderId="0" applyNumberFormat="0" applyFill="0" applyBorder="0" applyAlignment="0" applyProtection="0">
      <alignment vertical="top"/>
      <protection locked="0"/>
    </xf>
    <xf numFmtId="0" fontId="33" fillId="0" borderId="0"/>
    <xf numFmtId="0" fontId="33" fillId="0" borderId="0"/>
    <xf numFmtId="43" fontId="33" fillId="0" borderId="0" applyFont="0" applyFill="0" applyBorder="0" applyAlignment="0" applyProtection="0"/>
    <xf numFmtId="44" fontId="33" fillId="0" borderId="0" applyFont="0" applyFill="0" applyBorder="0" applyAlignment="0" applyProtection="0"/>
    <xf numFmtId="0" fontId="33" fillId="0" borderId="0"/>
    <xf numFmtId="43" fontId="33" fillId="0" borderId="0" applyFont="0" applyFill="0" applyBorder="0" applyAlignment="0" applyProtection="0"/>
    <xf numFmtId="44" fontId="33" fillId="0" borderId="0" applyFont="0" applyFill="0" applyBorder="0" applyAlignment="0" applyProtection="0"/>
    <xf numFmtId="0" fontId="25" fillId="0" borderId="0"/>
    <xf numFmtId="9" fontId="19" fillId="0" borderId="0" applyFont="0" applyFill="0" applyBorder="0" applyAlignment="0" applyProtection="0"/>
    <xf numFmtId="0" fontId="19" fillId="0" borderId="0"/>
    <xf numFmtId="43" fontId="19" fillId="0" borderId="0" applyFont="0" applyFill="0" applyBorder="0" applyAlignment="0" applyProtection="0"/>
    <xf numFmtId="0" fontId="25" fillId="0" borderId="0"/>
    <xf numFmtId="9" fontId="19" fillId="0" borderId="0" applyFont="0" applyFill="0" applyBorder="0" applyAlignment="0" applyProtection="0"/>
    <xf numFmtId="0" fontId="25" fillId="0" borderId="0"/>
    <xf numFmtId="0" fontId="44" fillId="0" borderId="0"/>
    <xf numFmtId="0" fontId="243" fillId="0" borderId="0"/>
    <xf numFmtId="0" fontId="46" fillId="0" borderId="0"/>
    <xf numFmtId="0" fontId="25" fillId="0" borderId="0"/>
    <xf numFmtId="0" fontId="45"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44" fillId="93" borderId="0" applyNumberFormat="0" applyBorder="0" applyAlignment="0" applyProtection="0">
      <alignment vertical="center"/>
    </xf>
    <xf numFmtId="0" fontId="244" fillId="47" borderId="0" applyNumberFormat="0" applyBorder="0" applyAlignment="0" applyProtection="0">
      <alignment vertical="center"/>
    </xf>
    <xf numFmtId="0" fontId="244" fillId="49" borderId="0" applyNumberFormat="0" applyBorder="0" applyAlignment="0" applyProtection="0">
      <alignment vertical="center"/>
    </xf>
    <xf numFmtId="0" fontId="244" fillId="94" borderId="0" applyNumberFormat="0" applyBorder="0" applyAlignment="0" applyProtection="0">
      <alignment vertical="center"/>
    </xf>
    <xf numFmtId="0" fontId="244" fillId="51" borderId="0" applyNumberFormat="0" applyBorder="0" applyAlignment="0" applyProtection="0">
      <alignment vertical="center"/>
    </xf>
    <xf numFmtId="0" fontId="244" fillId="46" borderId="0" applyNumberFormat="0" applyBorder="0" applyAlignment="0" applyProtection="0">
      <alignment vertical="center"/>
    </xf>
    <xf numFmtId="0" fontId="244" fillId="52" borderId="0" applyNumberFormat="0" applyBorder="0" applyAlignment="0" applyProtection="0">
      <alignment vertical="center"/>
    </xf>
    <xf numFmtId="0" fontId="244" fillId="48" borderId="0" applyNumberFormat="0" applyBorder="0" applyAlignment="0" applyProtection="0">
      <alignment vertical="center"/>
    </xf>
    <xf numFmtId="0" fontId="244" fillId="95" borderId="0" applyNumberFormat="0" applyBorder="0" applyAlignment="0" applyProtection="0">
      <alignment vertical="center"/>
    </xf>
    <xf numFmtId="0" fontId="244" fillId="94" borderId="0" applyNumberFormat="0" applyBorder="0" applyAlignment="0" applyProtection="0">
      <alignment vertical="center"/>
    </xf>
    <xf numFmtId="0" fontId="244" fillId="52" borderId="0" applyNumberFormat="0" applyBorder="0" applyAlignment="0" applyProtection="0">
      <alignment vertical="center"/>
    </xf>
    <xf numFmtId="0" fontId="244" fillId="96" borderId="0" applyNumberFormat="0" applyBorder="0" applyAlignment="0" applyProtection="0">
      <alignment vertical="center"/>
    </xf>
    <xf numFmtId="0" fontId="245" fillId="97" borderId="0" applyNumberFormat="0" applyBorder="0" applyAlignment="0" applyProtection="0">
      <alignment vertical="center"/>
    </xf>
    <xf numFmtId="0" fontId="245" fillId="48" borderId="0" applyNumberFormat="0" applyBorder="0" applyAlignment="0" applyProtection="0">
      <alignment vertical="center"/>
    </xf>
    <xf numFmtId="0" fontId="245" fillId="95" borderId="0" applyNumberFormat="0" applyBorder="0" applyAlignment="0" applyProtection="0">
      <alignment vertical="center"/>
    </xf>
    <xf numFmtId="0" fontId="245" fillId="98" borderId="0" applyNumberFormat="0" applyBorder="0" applyAlignment="0" applyProtection="0">
      <alignment vertical="center"/>
    </xf>
    <xf numFmtId="0" fontId="245" fillId="54" borderId="0" applyNumberFormat="0" applyBorder="0" applyAlignment="0" applyProtection="0">
      <alignment vertical="center"/>
    </xf>
    <xf numFmtId="0" fontId="245" fillId="99" borderId="0" applyNumberFormat="0" applyBorder="0" applyAlignment="0" applyProtection="0">
      <alignment vertical="center"/>
    </xf>
    <xf numFmtId="228" fontId="91" fillId="0" borderId="0" applyFill="0" applyBorder="0" applyAlignment="0"/>
    <xf numFmtId="43" fontId="19" fillId="0" borderId="0" applyFont="0" applyFill="0" applyBorder="0" applyAlignment="0" applyProtection="0"/>
    <xf numFmtId="43" fontId="19"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246" fillId="0" borderId="0" applyNumberFormat="0" applyFill="0" applyBorder="0" applyAlignment="0" applyProtection="0">
      <alignment vertical="top"/>
      <protection locked="0"/>
    </xf>
    <xf numFmtId="0" fontId="46" fillId="62" borderId="0"/>
    <xf numFmtId="0" fontId="25" fillId="0" borderId="0"/>
    <xf numFmtId="0" fontId="39" fillId="0" borderId="0"/>
    <xf numFmtId="0" fontId="39" fillId="0" borderId="0"/>
    <xf numFmtId="0" fontId="39" fillId="0" borderId="0"/>
    <xf numFmtId="0" fontId="39" fillId="0" borderId="0"/>
    <xf numFmtId="0" fontId="39" fillId="0" borderId="0"/>
    <xf numFmtId="0" fontId="25" fillId="0" borderId="0" applyNumberFormat="0" applyFill="0" applyBorder="0" applyAlignment="0" applyProtection="0"/>
    <xf numFmtId="0" fontId="25" fillId="0" borderId="0" applyNumberFormat="0" applyFill="0" applyBorder="0" applyAlignment="0" applyProtection="0"/>
    <xf numFmtId="0" fontId="39" fillId="0" borderId="0"/>
    <xf numFmtId="0" fontId="39" fillId="0" borderId="0"/>
    <xf numFmtId="0" fontId="39" fillId="0" borderId="0"/>
    <xf numFmtId="0" fontId="39"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19"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xf numFmtId="0" fontId="39" fillId="0" borderId="0"/>
    <xf numFmtId="0" fontId="25" fillId="0" borderId="0" quotePrefix="1">
      <alignment horizontal="justify" vertical="justify" wrapText="1"/>
      <protection hidden="1"/>
    </xf>
    <xf numFmtId="0" fontId="19" fillId="0" borderId="0"/>
    <xf numFmtId="0" fontId="25" fillId="0" borderId="0" applyNumberFormat="0" applyFill="0" applyBorder="0" applyAlignment="0" applyProtection="0"/>
    <xf numFmtId="0" fontId="3"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xf numFmtId="9" fontId="19" fillId="0" borderId="0" applyFont="0" applyFill="0" applyBorder="0" applyAlignment="0" applyProtection="0"/>
    <xf numFmtId="0" fontId="247" fillId="0" borderId="0" applyNumberFormat="0" applyFill="0" applyBorder="0" applyAlignment="0" applyProtection="0">
      <alignment horizontal="left"/>
    </xf>
    <xf numFmtId="0" fontId="2" fillId="0" borderId="0"/>
    <xf numFmtId="40" fontId="248" fillId="0" borderId="0" applyBorder="0">
      <alignment horizontal="right"/>
    </xf>
    <xf numFmtId="0" fontId="245" fillId="100" borderId="0" applyNumberFormat="0" applyBorder="0" applyAlignment="0" applyProtection="0">
      <alignment vertical="center"/>
    </xf>
    <xf numFmtId="0" fontId="245" fillId="55" borderId="0" applyNumberFormat="0" applyBorder="0" applyAlignment="0" applyProtection="0">
      <alignment vertical="center"/>
    </xf>
    <xf numFmtId="0" fontId="245" fillId="56" borderId="0" applyNumberFormat="0" applyBorder="0" applyAlignment="0" applyProtection="0">
      <alignment vertical="center"/>
    </xf>
    <xf numFmtId="0" fontId="245" fillId="98" borderId="0" applyNumberFormat="0" applyBorder="0" applyAlignment="0" applyProtection="0">
      <alignment vertical="center"/>
    </xf>
    <xf numFmtId="0" fontId="245" fillId="54" borderId="0" applyNumberFormat="0" applyBorder="0" applyAlignment="0" applyProtection="0">
      <alignment vertical="center"/>
    </xf>
    <xf numFmtId="0" fontId="245" fillId="58" borderId="0" applyNumberFormat="0" applyBorder="0" applyAlignment="0" applyProtection="0">
      <alignment vertical="center"/>
    </xf>
    <xf numFmtId="0" fontId="249" fillId="0" borderId="0" applyNumberFormat="0" applyFill="0" applyBorder="0" applyAlignment="0" applyProtection="0">
      <alignment vertical="center"/>
    </xf>
    <xf numFmtId="0" fontId="250" fillId="53" borderId="40" applyNumberFormat="0" applyAlignment="0" applyProtection="0">
      <alignment vertical="center"/>
    </xf>
    <xf numFmtId="0" fontId="251" fillId="47" borderId="0" applyNumberFormat="0" applyBorder="0" applyAlignment="0" applyProtection="0">
      <alignment vertical="center"/>
    </xf>
    <xf numFmtId="0" fontId="244" fillId="50" borderId="58" applyNumberFormat="0" applyFont="0" applyAlignment="0" applyProtection="0">
      <alignment vertical="center"/>
    </xf>
    <xf numFmtId="0" fontId="252" fillId="44" borderId="0" applyNumberFormat="0" applyBorder="0" applyAlignment="0" applyProtection="0">
      <alignment vertical="center"/>
    </xf>
    <xf numFmtId="0" fontId="253" fillId="0" borderId="0" applyNumberFormat="0" applyFill="0" applyBorder="0" applyAlignment="0" applyProtection="0">
      <alignment vertical="center"/>
    </xf>
    <xf numFmtId="0" fontId="254" fillId="63" borderId="42" applyNumberFormat="0" applyAlignment="0" applyProtection="0">
      <alignment vertical="center"/>
    </xf>
    <xf numFmtId="179" fontId="244" fillId="0" borderId="0" applyFont="0" applyFill="0" applyBorder="0" applyAlignment="0" applyProtection="0">
      <alignment vertical="center"/>
    </xf>
    <xf numFmtId="179" fontId="70" fillId="0" borderId="0" applyFont="0" applyFill="0" applyBorder="0" applyAlignment="0" applyProtection="0"/>
    <xf numFmtId="179" fontId="70" fillId="0" borderId="0" applyFont="0" applyFill="0" applyBorder="0" applyAlignment="0" applyProtection="0"/>
    <xf numFmtId="179" fontId="70" fillId="0" borderId="0" applyFont="0" applyFill="0" applyBorder="0" applyAlignment="0" applyProtection="0"/>
    <xf numFmtId="179" fontId="244" fillId="0" borderId="0" applyFont="0" applyFill="0" applyBorder="0" applyAlignment="0" applyProtection="0">
      <alignment vertical="center"/>
    </xf>
    <xf numFmtId="179" fontId="244" fillId="0" borderId="0" applyFont="0" applyFill="0" applyBorder="0" applyAlignment="0" applyProtection="0">
      <alignment vertical="center"/>
    </xf>
    <xf numFmtId="0" fontId="255" fillId="0" borderId="56" applyNumberFormat="0" applyFill="0" applyAlignment="0" applyProtection="0">
      <alignment vertical="center"/>
    </xf>
    <xf numFmtId="0" fontId="256" fillId="0" borderId="75" applyNumberFormat="0" applyFill="0" applyAlignment="0" applyProtection="0">
      <alignment vertical="center"/>
    </xf>
    <xf numFmtId="0" fontId="257" fillId="46" borderId="40" applyNumberFormat="0" applyAlignment="0" applyProtection="0">
      <alignment vertical="center"/>
    </xf>
    <xf numFmtId="0" fontId="258" fillId="0" borderId="0" applyNumberFormat="0" applyFill="0" applyBorder="0" applyAlignment="0" applyProtection="0">
      <alignment vertical="center"/>
    </xf>
    <xf numFmtId="0" fontId="259" fillId="0" borderId="74" applyNumberFormat="0" applyFill="0" applyAlignment="0" applyProtection="0">
      <alignment vertical="center"/>
    </xf>
    <xf numFmtId="0" fontId="260" fillId="0" borderId="53" applyNumberFormat="0" applyFill="0" applyAlignment="0" applyProtection="0">
      <alignment vertical="center"/>
    </xf>
    <xf numFmtId="0" fontId="261" fillId="0" borderId="34" applyNumberFormat="0" applyFill="0" applyAlignment="0" applyProtection="0">
      <alignment vertical="center"/>
    </xf>
    <xf numFmtId="0" fontId="261" fillId="0" borderId="0" applyNumberFormat="0" applyFill="0" applyBorder="0" applyAlignment="0" applyProtection="0">
      <alignment vertical="center"/>
    </xf>
    <xf numFmtId="0" fontId="262" fillId="49" borderId="0" applyNumberFormat="0" applyBorder="0" applyAlignment="0" applyProtection="0">
      <alignment vertical="center"/>
    </xf>
    <xf numFmtId="0" fontId="263" fillId="53" borderId="59" applyNumberFormat="0" applyAlignment="0" applyProtection="0">
      <alignment vertical="center"/>
    </xf>
    <xf numFmtId="0" fontId="244" fillId="0" borderId="0">
      <alignment vertical="center"/>
    </xf>
    <xf numFmtId="0" fontId="70" fillId="0" borderId="0"/>
    <xf numFmtId="0" fontId="70" fillId="0" borderId="0"/>
    <xf numFmtId="0" fontId="70" fillId="0" borderId="0"/>
    <xf numFmtId="0" fontId="244" fillId="0" borderId="0">
      <alignment vertical="center"/>
    </xf>
    <xf numFmtId="0" fontId="244" fillId="0" borderId="0">
      <alignment vertical="center"/>
    </xf>
    <xf numFmtId="41"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0" fontId="25" fillId="0" borderId="0" quotePrefix="1">
      <alignment horizontal="justify" vertical="justify" wrapText="1"/>
      <protection hidden="1"/>
    </xf>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44" fontId="25" fillId="0" borderId="0" applyFont="0" applyFill="0" applyBorder="0" applyAlignment="0" applyProtection="0"/>
    <xf numFmtId="0" fontId="246" fillId="0" borderId="0" applyNumberFormat="0" applyFill="0" applyBorder="0" applyAlignment="0" applyProtection="0">
      <alignment vertical="top"/>
      <protection locked="0"/>
    </xf>
    <xf numFmtId="0" fontId="39" fillId="0" borderId="0"/>
    <xf numFmtId="0" fontId="25" fillId="0" borderId="0" quotePrefix="1">
      <alignment horizontal="justify" vertical="justify" wrapText="1"/>
      <protection hidden="1"/>
    </xf>
    <xf numFmtId="0" fontId="19" fillId="0" borderId="0"/>
    <xf numFmtId="0" fontId="39" fillId="0" borderId="0"/>
    <xf numFmtId="0" fontId="39" fillId="0" borderId="0"/>
    <xf numFmtId="0" fontId="39" fillId="0" borderId="0"/>
    <xf numFmtId="0" fontId="39" fillId="0" borderId="0"/>
    <xf numFmtId="0" fontId="39" fillId="0" borderId="0"/>
    <xf numFmtId="44" fontId="25" fillId="0" borderId="0" applyFont="0" applyFill="0" applyBorder="0" applyAlignment="0" applyProtection="0"/>
    <xf numFmtId="43" fontId="25" fillId="0" borderId="0" applyFont="0" applyFill="0" applyBorder="0" applyAlignment="0" applyProtection="0"/>
    <xf numFmtId="0" fontId="25" fillId="0" borderId="0" quotePrefix="1">
      <alignment horizontal="justify" vertical="justify" wrapText="1"/>
      <protection hidden="1"/>
    </xf>
    <xf numFmtId="0" fontId="25" fillId="0" borderId="0" quotePrefix="1">
      <alignment horizontal="justify" vertical="justify" wrapText="1"/>
      <protection hidden="1"/>
    </xf>
    <xf numFmtId="0" fontId="25" fillId="0" borderId="0" quotePrefix="1">
      <alignment horizontal="justify" vertical="justify" wrapText="1"/>
      <protection hidden="1"/>
    </xf>
    <xf numFmtId="0" fontId="25" fillId="0" borderId="0" quotePrefix="1">
      <alignment horizontal="justify" vertical="justify" wrapText="1"/>
      <protection hidden="1"/>
    </xf>
    <xf numFmtId="43" fontId="25" fillId="0" borderId="0" applyFont="0" applyFill="0" applyBorder="0" applyAlignment="0" applyProtection="0"/>
    <xf numFmtId="44" fontId="25"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25"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19" fillId="0" borderId="0" applyFont="0" applyFill="0" applyBorder="0" applyAlignment="0" applyProtection="0"/>
    <xf numFmtId="44" fontId="25"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0" fontId="25" fillId="0" borderId="0"/>
    <xf numFmtId="43" fontId="25" fillId="0" borderId="0" applyFont="0" applyFill="0" applyBorder="0" applyAlignment="0" applyProtection="0"/>
    <xf numFmtId="44" fontId="25" fillId="0" borderId="0" applyFont="0" applyFill="0" applyBorder="0" applyAlignment="0" applyProtection="0"/>
    <xf numFmtId="43" fontId="25" fillId="0" borderId="0" applyFont="0" applyFill="0" applyBorder="0" applyAlignment="0" applyProtection="0"/>
    <xf numFmtId="0" fontId="25" fillId="0" borderId="0"/>
    <xf numFmtId="44" fontId="25" fillId="0" borderId="0" applyFont="0" applyFill="0" applyBorder="0" applyAlignment="0" applyProtection="0"/>
    <xf numFmtId="43" fontId="25" fillId="0" borderId="0" applyFont="0" applyFill="0" applyBorder="0" applyAlignment="0" applyProtection="0"/>
    <xf numFmtId="0" fontId="25" fillId="0" borderId="0"/>
    <xf numFmtId="0" fontId="25" fillId="0" borderId="0"/>
    <xf numFmtId="43" fontId="267" fillId="0" borderId="0" applyFont="0" applyFill="0" applyBorder="0" applyAlignment="0" applyProtection="0"/>
    <xf numFmtId="0" fontId="267" fillId="0" borderId="0">
      <alignment vertical="center"/>
    </xf>
    <xf numFmtId="44" fontId="267" fillId="0" borderId="0" applyFont="0" applyFill="0" applyBorder="0" applyAlignment="0" applyProtection="0"/>
  </cellStyleXfs>
  <cellXfs count="265">
    <xf numFmtId="0" fontId="0" fillId="0" borderId="0" xfId="0"/>
    <xf numFmtId="0" fontId="0" fillId="0" borderId="1" xfId="0" applyBorder="1"/>
    <xf numFmtId="0" fontId="0" fillId="0" borderId="0" xfId="0"/>
    <xf numFmtId="0" fontId="20" fillId="40" borderId="24" xfId="0" applyFont="1" applyFill="1" applyBorder="1" applyAlignment="1">
      <alignment horizontal="center" vertical="center" wrapText="1"/>
    </xf>
    <xf numFmtId="0" fontId="20" fillId="41" borderId="17" xfId="0" applyFont="1" applyFill="1" applyBorder="1" applyAlignment="1">
      <alignment horizontal="center" vertical="center" wrapText="1"/>
    </xf>
    <xf numFmtId="0" fontId="20" fillId="40" borderId="17" xfId="0" applyFont="1" applyFill="1" applyBorder="1" applyAlignment="1">
      <alignment horizontal="center" vertical="center" wrapText="1"/>
    </xf>
    <xf numFmtId="0" fontId="20" fillId="41" borderId="24" xfId="0" applyFont="1" applyFill="1" applyBorder="1" applyAlignment="1">
      <alignment horizontal="center" vertical="center" wrapText="1"/>
    </xf>
    <xf numFmtId="0" fontId="20" fillId="88" borderId="26" xfId="0" applyFont="1" applyFill="1" applyBorder="1" applyAlignment="1">
      <alignment horizontal="center" vertical="center" wrapText="1"/>
    </xf>
    <xf numFmtId="0" fontId="0" fillId="0" borderId="0" xfId="0" applyNumberFormat="1"/>
    <xf numFmtId="0" fontId="20" fillId="41" borderId="26" xfId="0" applyFont="1" applyFill="1" applyBorder="1" applyAlignment="1">
      <alignment horizontal="center" vertical="center" wrapText="1"/>
    </xf>
    <xf numFmtId="0" fontId="20" fillId="41" borderId="77" xfId="0" applyFont="1" applyFill="1" applyBorder="1" applyAlignment="1">
      <alignment horizontal="center" vertical="center" wrapText="1"/>
    </xf>
    <xf numFmtId="0" fontId="20" fillId="40" borderId="26" xfId="0" applyFont="1" applyFill="1" applyBorder="1" applyAlignment="1">
      <alignment horizontal="center" vertical="center" wrapText="1"/>
    </xf>
    <xf numFmtId="0" fontId="20" fillId="88" borderId="78" xfId="0" applyFont="1" applyFill="1" applyBorder="1" applyAlignment="1">
      <alignment horizontal="center" vertical="center" wrapText="1"/>
    </xf>
    <xf numFmtId="0" fontId="0" fillId="0" borderId="0" xfId="0" pivotButton="1"/>
    <xf numFmtId="0" fontId="20" fillId="89" borderId="24" xfId="0" applyFont="1" applyFill="1" applyBorder="1" applyAlignment="1">
      <alignment horizontal="center" vertical="center" textRotation="90" wrapText="1"/>
    </xf>
    <xf numFmtId="0" fontId="264" fillId="89" borderId="24" xfId="0" applyFont="1" applyFill="1" applyBorder="1" applyAlignment="1">
      <alignment horizontal="center" vertical="center" textRotation="90" wrapText="1"/>
    </xf>
    <xf numFmtId="0" fontId="20" fillId="103" borderId="26" xfId="0" applyFont="1" applyFill="1" applyBorder="1" applyAlignment="1">
      <alignment horizontal="center" vertical="center" wrapText="1"/>
    </xf>
    <xf numFmtId="0" fontId="20" fillId="40" borderId="3" xfId="0" applyFont="1" applyFill="1" applyBorder="1" applyAlignment="1">
      <alignment horizontal="center" vertical="center" wrapText="1"/>
    </xf>
    <xf numFmtId="44" fontId="20" fillId="89" borderId="69" xfId="2" applyFont="1" applyFill="1" applyBorder="1" applyAlignment="1">
      <alignment horizontal="center" vertical="center" wrapText="1"/>
    </xf>
    <xf numFmtId="44" fontId="20" fillId="92" borderId="17" xfId="2" applyFont="1" applyFill="1" applyBorder="1" applyAlignment="1">
      <alignment horizontal="center" vertical="center" wrapText="1"/>
    </xf>
    <xf numFmtId="44" fontId="20" fillId="101" borderId="26" xfId="2" applyFont="1" applyFill="1" applyBorder="1" applyAlignment="1">
      <alignment horizontal="center" vertical="center" wrapText="1"/>
    </xf>
    <xf numFmtId="0" fontId="265" fillId="86" borderId="17" xfId="0" applyFont="1" applyFill="1" applyBorder="1" applyAlignment="1">
      <alignment horizontal="center" vertical="center" textRotation="90" wrapText="1"/>
    </xf>
    <xf numFmtId="3" fontId="265" fillId="86" borderId="17" xfId="0" applyNumberFormat="1" applyFont="1" applyFill="1" applyBorder="1" applyAlignment="1">
      <alignment horizontal="center" vertical="center" textRotation="90" wrapText="1"/>
    </xf>
    <xf numFmtId="1" fontId="265" fillId="86" borderId="17" xfId="0" applyNumberFormat="1" applyFont="1" applyFill="1" applyBorder="1" applyAlignment="1">
      <alignment horizontal="center" vertical="center" textRotation="90" wrapText="1"/>
    </xf>
    <xf numFmtId="0" fontId="265" fillId="39" borderId="17" xfId="0" applyFont="1" applyFill="1" applyBorder="1" applyAlignment="1">
      <alignment horizontal="center" vertical="center" textRotation="90" wrapText="1"/>
    </xf>
    <xf numFmtId="1" fontId="265" fillId="39" borderId="17" xfId="0" applyNumberFormat="1" applyFont="1" applyFill="1" applyBorder="1" applyAlignment="1">
      <alignment horizontal="center" vertical="center" textRotation="90" wrapText="1"/>
    </xf>
    <xf numFmtId="0" fontId="265" fillId="37" borderId="17" xfId="0" applyFont="1" applyFill="1" applyBorder="1" applyAlignment="1">
      <alignment horizontal="center" vertical="center" textRotation="90" wrapText="1"/>
    </xf>
    <xf numFmtId="0" fontId="265" fillId="37" borderId="24" xfId="0" applyFont="1" applyFill="1" applyBorder="1" applyAlignment="1">
      <alignment horizontal="center" vertical="center" textRotation="90" wrapText="1"/>
    </xf>
    <xf numFmtId="0" fontId="20" fillId="41" borderId="2" xfId="0" applyFont="1" applyFill="1" applyBorder="1" applyAlignment="1">
      <alignment horizontal="center" vertical="center" wrapText="1"/>
    </xf>
    <xf numFmtId="0" fontId="20" fillId="41" borderId="68" xfId="0" applyFont="1" applyFill="1" applyBorder="1" applyAlignment="1">
      <alignment horizontal="center" vertical="center" textRotation="90" wrapText="1"/>
    </xf>
    <xf numFmtId="0" fontId="20" fillId="41" borderId="80" xfId="0" applyFont="1" applyFill="1" applyBorder="1" applyAlignment="1">
      <alignment horizontal="center" vertical="center" wrapText="1"/>
    </xf>
    <xf numFmtId="0" fontId="20" fillId="41" borderId="1" xfId="0" applyFont="1" applyFill="1" applyBorder="1" applyAlignment="1">
      <alignment horizontal="center" vertical="center" textRotation="90" wrapText="1"/>
    </xf>
    <xf numFmtId="0" fontId="266" fillId="103" borderId="17" xfId="0" applyFont="1" applyFill="1" applyBorder="1" applyAlignment="1">
      <alignment horizontal="center" vertical="center" wrapText="1"/>
    </xf>
    <xf numFmtId="0" fontId="20" fillId="38" borderId="17" xfId="0" applyFont="1" applyFill="1" applyBorder="1" applyAlignment="1">
      <alignment horizontal="center" vertical="center" wrapText="1"/>
    </xf>
    <xf numFmtId="0" fontId="20" fillId="38" borderId="24" xfId="0" applyFont="1" applyFill="1" applyBorder="1" applyAlignment="1">
      <alignment horizontal="center" vertical="center" wrapText="1"/>
    </xf>
    <xf numFmtId="0" fontId="20" fillId="41" borderId="0" xfId="0" applyFont="1" applyFill="1" applyBorder="1" applyAlignment="1">
      <alignment horizontal="center" vertical="center" textRotation="90" wrapText="1"/>
    </xf>
    <xf numFmtId="0" fontId="21" fillId="43" borderId="1" xfId="0" applyFont="1" applyFill="1" applyBorder="1" applyAlignment="1" applyProtection="1">
      <alignment horizontal="center" vertical="center"/>
      <protection locked="0"/>
    </xf>
    <xf numFmtId="337" fontId="268" fillId="43" borderId="63" xfId="3" applyNumberFormat="1" applyFont="1" applyFill="1" applyBorder="1" applyAlignment="1" applyProtection="1">
      <alignment horizontal="center" vertical="center"/>
      <protection locked="0"/>
    </xf>
    <xf numFmtId="0" fontId="268" fillId="43" borderId="63" xfId="0" applyNumberFormat="1" applyFont="1" applyFill="1" applyBorder="1" applyAlignment="1" applyProtection="1">
      <alignment horizontal="center" vertical="center"/>
      <protection locked="0"/>
    </xf>
    <xf numFmtId="0" fontId="21" fillId="36" borderId="22" xfId="0" applyFont="1" applyFill="1" applyBorder="1" applyAlignment="1" applyProtection="1">
      <alignment horizontal="center" vertical="center"/>
      <protection locked="0"/>
    </xf>
    <xf numFmtId="275" fontId="23" fillId="36" borderId="1" xfId="0" applyNumberFormat="1" applyFont="1" applyFill="1" applyBorder="1" applyAlignment="1" applyProtection="1">
      <alignment horizontal="center" vertical="center"/>
      <protection locked="0"/>
    </xf>
    <xf numFmtId="0" fontId="21" fillId="104" borderId="63" xfId="3" applyFont="1" applyFill="1" applyBorder="1" applyAlignment="1" applyProtection="1">
      <alignment horizontal="center" vertical="center"/>
      <protection locked="0"/>
    </xf>
    <xf numFmtId="0" fontId="21" fillId="36" borderId="63" xfId="3" applyFont="1" applyFill="1" applyBorder="1" applyAlignment="1" applyProtection="1">
      <alignment horizontal="center" vertical="center"/>
      <protection locked="0"/>
    </xf>
    <xf numFmtId="0" fontId="269" fillId="36" borderId="63" xfId="3" applyFont="1" applyFill="1" applyBorder="1" applyAlignment="1" applyProtection="1">
      <alignment horizontal="center" vertical="center"/>
      <protection locked="0"/>
    </xf>
    <xf numFmtId="0" fontId="21" fillId="90" borderId="1" xfId="3" applyNumberFormat="1" applyFont="1" applyFill="1" applyBorder="1" applyAlignment="1" applyProtection="1">
      <alignment horizontal="center" vertical="center"/>
      <protection locked="0"/>
    </xf>
    <xf numFmtId="0" fontId="21" fillId="2" borderId="20" xfId="3" applyNumberFormat="1" applyFont="1" applyFill="1" applyBorder="1" applyAlignment="1" applyProtection="1">
      <alignment horizontal="center" vertical="center"/>
    </xf>
    <xf numFmtId="166" fontId="21" fillId="90" borderId="1" xfId="3" applyNumberFormat="1" applyFont="1" applyFill="1" applyBorder="1" applyAlignment="1" applyProtection="1">
      <alignment horizontal="center" vertical="center"/>
      <protection locked="0"/>
    </xf>
    <xf numFmtId="0" fontId="21" fillId="90" borderId="23" xfId="3" applyNumberFormat="1" applyFont="1" applyFill="1" applyBorder="1" applyAlignment="1" applyProtection="1">
      <alignment horizontal="center" vertical="center"/>
      <protection locked="0"/>
    </xf>
    <xf numFmtId="1" fontId="21" fillId="90" borderId="20" xfId="3" applyNumberFormat="1" applyFont="1" applyFill="1" applyBorder="1" applyAlignment="1" applyProtection="1">
      <alignment horizontal="center" vertical="center"/>
      <protection locked="0"/>
    </xf>
    <xf numFmtId="0" fontId="21" fillId="36" borderId="1" xfId="3" applyNumberFormat="1" applyFont="1" applyFill="1" applyBorder="1" applyAlignment="1" applyProtection="1">
      <alignment horizontal="center" vertical="center"/>
      <protection locked="0"/>
    </xf>
    <xf numFmtId="0" fontId="21" fillId="36" borderId="3" xfId="0" applyNumberFormat="1" applyFont="1" applyFill="1" applyBorder="1" applyAlignment="1" applyProtection="1">
      <alignment horizontal="center" vertical="center"/>
      <protection locked="0"/>
    </xf>
    <xf numFmtId="166" fontId="269" fillId="36" borderId="1" xfId="0" applyNumberFormat="1" applyFont="1" applyFill="1" applyBorder="1" applyAlignment="1" applyProtection="1">
      <alignment horizontal="center" vertical="center"/>
      <protection locked="0"/>
    </xf>
    <xf numFmtId="166" fontId="21" fillId="36" borderId="1" xfId="0" applyNumberFormat="1" applyFont="1" applyFill="1" applyBorder="1" applyAlignment="1" applyProtection="1">
      <alignment horizontal="center" vertical="center"/>
      <protection locked="0"/>
    </xf>
    <xf numFmtId="1" fontId="21" fillId="36" borderId="1" xfId="0" applyNumberFormat="1" applyFont="1" applyFill="1" applyBorder="1" applyAlignment="1" applyProtection="1">
      <alignment horizontal="center" vertical="center"/>
      <protection locked="0"/>
    </xf>
    <xf numFmtId="1" fontId="21" fillId="36" borderId="63" xfId="0" applyNumberFormat="1" applyFont="1" applyFill="1" applyBorder="1" applyAlignment="1" applyProtection="1">
      <alignment horizontal="center" vertical="center"/>
      <protection locked="0"/>
    </xf>
    <xf numFmtId="44" fontId="21" fillId="91" borderId="3" xfId="2" applyFont="1" applyFill="1" applyBorder="1" applyAlignment="1" applyProtection="1">
      <alignment horizontal="center" vertical="center"/>
      <protection locked="0"/>
    </xf>
    <xf numFmtId="44" fontId="21" fillId="91" borderId="3" xfId="2" applyNumberFormat="1" applyFont="1" applyFill="1" applyBorder="1" applyAlignment="1" applyProtection="1">
      <alignment horizontal="center" vertical="center"/>
      <protection locked="0"/>
    </xf>
    <xf numFmtId="0" fontId="21" fillId="36" borderId="5" xfId="0" applyFont="1" applyFill="1" applyBorder="1" applyAlignment="1" applyProtection="1">
      <alignment horizontal="left" vertical="top"/>
      <protection locked="0"/>
    </xf>
    <xf numFmtId="0" fontId="21" fillId="89" borderId="23" xfId="0" applyFont="1" applyFill="1" applyBorder="1" applyAlignment="1" applyProtection="1">
      <alignment horizontal="left" vertical="top" wrapText="1"/>
      <protection locked="0"/>
    </xf>
    <xf numFmtId="166" fontId="21" fillId="38" borderId="1" xfId="0" applyNumberFormat="1" applyFont="1" applyFill="1" applyBorder="1" applyAlignment="1" applyProtection="1">
      <alignment horizontal="center" vertical="center"/>
    </xf>
    <xf numFmtId="1" fontId="21" fillId="38" borderId="1" xfId="0" applyNumberFormat="1" applyFont="1" applyFill="1" applyBorder="1" applyAlignment="1" applyProtection="1">
      <alignment horizontal="center" vertical="center"/>
    </xf>
    <xf numFmtId="166" fontId="23" fillId="89" borderId="26" xfId="0" applyNumberFormat="1" applyFont="1" applyFill="1" applyBorder="1" applyAlignment="1" applyProtection="1">
      <alignment horizontal="center" vertical="center"/>
    </xf>
    <xf numFmtId="164" fontId="32" fillId="87" borderId="5" xfId="0" applyNumberFormat="1" applyFont="1" applyFill="1" applyBorder="1" applyAlignment="1" applyProtection="1">
      <alignment horizontal="center" vertical="center" wrapText="1"/>
    </xf>
    <xf numFmtId="164" fontId="32" fillId="87" borderId="63" xfId="0" applyNumberFormat="1" applyFont="1" applyFill="1" applyBorder="1" applyAlignment="1" applyProtection="1">
      <alignment horizontal="center" vertical="center" wrapText="1"/>
    </xf>
    <xf numFmtId="44" fontId="21" fillId="37" borderId="5" xfId="2" applyNumberFormat="1" applyFont="1" applyFill="1" applyBorder="1" applyAlignment="1">
      <alignment horizontal="center" vertical="center"/>
    </xf>
    <xf numFmtId="44" fontId="21" fillId="102" borderId="3" xfId="2" applyNumberFormat="1" applyFont="1" applyFill="1" applyBorder="1" applyAlignment="1">
      <alignment horizontal="center" vertical="center"/>
    </xf>
    <xf numFmtId="164" fontId="21" fillId="2" borderId="3" xfId="2" applyNumberFormat="1" applyFont="1" applyFill="1" applyBorder="1" applyAlignment="1">
      <alignment horizontal="center" vertical="center"/>
    </xf>
    <xf numFmtId="166" fontId="21" fillId="2" borderId="3" xfId="2" applyNumberFormat="1" applyFont="1" applyFill="1" applyBorder="1" applyAlignment="1">
      <alignment horizontal="center" vertical="center"/>
    </xf>
    <xf numFmtId="164" fontId="21" fillId="2" borderId="3" xfId="0" applyNumberFormat="1" applyFont="1" applyFill="1" applyBorder="1" applyAlignment="1">
      <alignment horizontal="center" vertical="center"/>
    </xf>
    <xf numFmtId="44" fontId="21" fillId="2" borderId="3" xfId="2" applyFont="1" applyFill="1" applyBorder="1" applyAlignment="1">
      <alignment horizontal="center" vertical="center"/>
    </xf>
    <xf numFmtId="0" fontId="270" fillId="91" borderId="70" xfId="0" applyFont="1" applyFill="1" applyBorder="1" applyAlignment="1">
      <alignment horizontal="left" vertical="center"/>
    </xf>
    <xf numFmtId="0" fontId="21" fillId="91" borderId="71" xfId="0" applyFont="1" applyFill="1" applyBorder="1" applyAlignment="1">
      <alignment horizontal="center" vertical="center"/>
    </xf>
    <xf numFmtId="0" fontId="271" fillId="91" borderId="70" xfId="0" applyFont="1" applyFill="1" applyBorder="1" applyAlignment="1">
      <alignment horizontal="center" vertical="center"/>
    </xf>
    <xf numFmtId="0" fontId="21" fillId="91" borderId="70" xfId="0" applyFont="1" applyFill="1" applyBorder="1" applyAlignment="1">
      <alignment horizontal="center" vertical="center"/>
    </xf>
    <xf numFmtId="0" fontId="21" fillId="91" borderId="73" xfId="0" applyFont="1" applyFill="1" applyBorder="1" applyAlignment="1" applyProtection="1">
      <alignment horizontal="center" vertical="center"/>
    </xf>
    <xf numFmtId="0" fontId="270" fillId="91" borderId="71" xfId="0" applyFont="1" applyFill="1" applyBorder="1" applyAlignment="1">
      <alignment horizontal="center" vertical="center"/>
    </xf>
    <xf numFmtId="167" fontId="271" fillId="91" borderId="72" xfId="0" applyNumberFormat="1" applyFont="1" applyFill="1" applyBorder="1" applyAlignment="1">
      <alignment horizontal="center" vertical="center"/>
    </xf>
    <xf numFmtId="0" fontId="21" fillId="91" borderId="71" xfId="0" applyFont="1" applyFill="1" applyBorder="1" applyAlignment="1" applyProtection="1">
      <alignment horizontal="center" vertical="center"/>
    </xf>
    <xf numFmtId="167" fontId="271" fillId="91" borderId="71" xfId="0" applyNumberFormat="1" applyFont="1" applyFill="1" applyBorder="1" applyAlignment="1">
      <alignment horizontal="center" vertical="center"/>
    </xf>
    <xf numFmtId="167" fontId="265" fillId="91" borderId="71" xfId="0" applyNumberFormat="1" applyFont="1" applyFill="1" applyBorder="1" applyAlignment="1" applyProtection="1">
      <alignment horizontal="center" vertical="center"/>
    </xf>
    <xf numFmtId="43" fontId="21" fillId="91" borderId="72" xfId="0" applyNumberFormat="1" applyFont="1" applyFill="1" applyBorder="1" applyAlignment="1" applyProtection="1">
      <alignment horizontal="center" vertical="center"/>
    </xf>
    <xf numFmtId="336" fontId="271" fillId="91" borderId="73" xfId="0" applyNumberFormat="1" applyFont="1" applyFill="1" applyBorder="1" applyAlignment="1" applyProtection="1">
      <alignment horizontal="center" vertical="center"/>
    </xf>
    <xf numFmtId="0" fontId="21" fillId="91" borderId="71" xfId="0" applyNumberFormat="1" applyFont="1" applyFill="1" applyBorder="1" applyAlignment="1">
      <alignment horizontal="center" vertical="center"/>
    </xf>
    <xf numFmtId="43" fontId="21" fillId="91" borderId="71" xfId="0" applyNumberFormat="1" applyFont="1" applyFill="1" applyBorder="1" applyAlignment="1" applyProtection="1">
      <alignment horizontal="center" vertical="center"/>
    </xf>
    <xf numFmtId="43" fontId="21" fillId="91" borderId="73" xfId="0" applyNumberFormat="1" applyFont="1" applyFill="1" applyBorder="1" applyAlignment="1" applyProtection="1">
      <alignment horizontal="center" vertical="center"/>
    </xf>
    <xf numFmtId="336" fontId="271" fillId="91" borderId="71" xfId="0" applyNumberFormat="1" applyFont="1" applyFill="1" applyBorder="1" applyAlignment="1" applyProtection="1">
      <alignment horizontal="center" vertical="center"/>
    </xf>
    <xf numFmtId="167" fontId="271" fillId="91" borderId="73" xfId="0" applyNumberFormat="1" applyFont="1" applyFill="1" applyBorder="1" applyAlignment="1">
      <alignment horizontal="center" vertical="center"/>
    </xf>
    <xf numFmtId="167" fontId="271" fillId="91" borderId="81" xfId="0" applyNumberFormat="1" applyFont="1" applyFill="1" applyBorder="1" applyAlignment="1">
      <alignment horizontal="center" vertical="center"/>
    </xf>
    <xf numFmtId="166" fontId="19" fillId="91" borderId="71" xfId="0" applyNumberFormat="1" applyFont="1" applyFill="1" applyBorder="1" applyAlignment="1">
      <alignment horizontal="center" vertical="center"/>
    </xf>
    <xf numFmtId="0" fontId="21" fillId="91" borderId="28" xfId="0" applyFont="1" applyFill="1" applyBorder="1" applyAlignment="1">
      <alignment horizontal="center" vertical="center"/>
    </xf>
    <xf numFmtId="44" fontId="271" fillId="42" borderId="71" xfId="0" applyNumberFormat="1" applyFont="1" applyFill="1" applyBorder="1" applyAlignment="1">
      <alignment horizontal="center" vertical="center"/>
    </xf>
    <xf numFmtId="0" fontId="21" fillId="91" borderId="72" xfId="0" applyFont="1" applyFill="1" applyBorder="1" applyAlignment="1">
      <alignment horizontal="center" vertical="center"/>
    </xf>
    <xf numFmtId="0" fontId="21" fillId="89" borderId="72" xfId="0" applyFont="1" applyFill="1" applyBorder="1" applyAlignment="1">
      <alignment horizontal="center" vertical="center"/>
    </xf>
    <xf numFmtId="166" fontId="265" fillId="91" borderId="71" xfId="0" applyNumberFormat="1" applyFont="1" applyFill="1" applyBorder="1" applyAlignment="1">
      <alignment horizontal="center" vertical="center"/>
    </xf>
    <xf numFmtId="1" fontId="265" fillId="91" borderId="71" xfId="0" applyNumberFormat="1" applyFont="1" applyFill="1" applyBorder="1" applyAlignment="1">
      <alignment horizontal="center" vertical="center"/>
    </xf>
    <xf numFmtId="318" fontId="265" fillId="91" borderId="71" xfId="0" applyNumberFormat="1" applyFont="1" applyFill="1" applyBorder="1" applyAlignment="1">
      <alignment horizontal="center" vertical="center"/>
    </xf>
    <xf numFmtId="166" fontId="265" fillId="89" borderId="71" xfId="0" applyNumberFormat="1" applyFont="1" applyFill="1" applyBorder="1" applyAlignment="1">
      <alignment horizontal="center" vertical="center"/>
    </xf>
    <xf numFmtId="44" fontId="31" fillId="42" borderId="72" xfId="0" applyNumberFormat="1" applyFont="1" applyFill="1" applyBorder="1" applyAlignment="1">
      <alignment horizontal="center" vertical="center"/>
    </xf>
    <xf numFmtId="44" fontId="31" fillId="42" borderId="73" xfId="0" applyNumberFormat="1" applyFont="1" applyFill="1" applyBorder="1" applyAlignment="1">
      <alignment horizontal="center" vertical="center"/>
    </xf>
    <xf numFmtId="44" fontId="271" fillId="42" borderId="72" xfId="0" applyNumberFormat="1" applyFont="1" applyFill="1" applyBorder="1" applyAlignment="1">
      <alignment horizontal="center" vertical="center"/>
    </xf>
    <xf numFmtId="0" fontId="271" fillId="42" borderId="76" xfId="0" applyFont="1" applyFill="1" applyBorder="1" applyAlignment="1">
      <alignment horizontal="center" vertical="center"/>
    </xf>
    <xf numFmtId="0" fontId="271" fillId="42" borderId="71" xfId="0" applyFont="1" applyFill="1" applyBorder="1" applyAlignment="1">
      <alignment horizontal="center" vertical="center"/>
    </xf>
    <xf numFmtId="164" fontId="271" fillId="42" borderId="71" xfId="0" applyNumberFormat="1" applyFont="1" applyFill="1" applyBorder="1" applyAlignment="1">
      <alignment horizontal="center" vertical="center"/>
    </xf>
    <xf numFmtId="337" fontId="21" fillId="43" borderId="1" xfId="3" applyNumberFormat="1" applyFont="1" applyFill="1" applyBorder="1" applyAlignment="1" applyProtection="1">
      <alignment horizontal="center" vertical="center"/>
      <protection locked="0"/>
    </xf>
    <xf numFmtId="0" fontId="23" fillId="36" borderId="1" xfId="0" applyNumberFormat="1" applyFont="1" applyFill="1" applyBorder="1" applyAlignment="1" applyProtection="1">
      <alignment horizontal="center" vertical="center"/>
      <protection locked="0"/>
    </xf>
    <xf numFmtId="0" fontId="23" fillId="36" borderId="1" xfId="0" applyFont="1" applyFill="1" applyBorder="1" applyAlignment="1" applyProtection="1">
      <alignment horizontal="center" vertical="center"/>
      <protection locked="0"/>
    </xf>
    <xf numFmtId="0" fontId="21" fillId="36" borderId="1" xfId="0" applyFont="1" applyFill="1" applyBorder="1" applyAlignment="1" applyProtection="1">
      <alignment horizontal="center" vertical="center"/>
      <protection locked="0"/>
    </xf>
    <xf numFmtId="166" fontId="269" fillId="36" borderId="1" xfId="3" applyNumberFormat="1" applyFont="1" applyFill="1" applyBorder="1" applyAlignment="1" applyProtection="1">
      <alignment horizontal="center" vertical="center"/>
      <protection locked="0"/>
    </xf>
    <xf numFmtId="0" fontId="21" fillId="36" borderId="22" xfId="3" applyFont="1" applyFill="1" applyBorder="1" applyAlignment="1" applyProtection="1">
      <alignment horizontal="center" vertical="center"/>
      <protection locked="0"/>
    </xf>
    <xf numFmtId="0" fontId="21" fillId="2" borderId="5" xfId="3" applyNumberFormat="1" applyFont="1" applyFill="1" applyBorder="1" applyAlignment="1" applyProtection="1">
      <alignment horizontal="center" vertical="center"/>
    </xf>
    <xf numFmtId="1" fontId="21" fillId="2" borderId="5" xfId="0" applyNumberFormat="1" applyFont="1" applyFill="1" applyBorder="1" applyAlignment="1" applyProtection="1">
      <alignment horizontal="center" vertical="center"/>
    </xf>
    <xf numFmtId="1" fontId="21" fillId="36" borderId="1" xfId="0" applyNumberFormat="1" applyFont="1" applyFill="1" applyBorder="1" applyAlignment="1">
      <alignment horizontal="center" vertical="center"/>
    </xf>
    <xf numFmtId="1" fontId="21" fillId="2" borderId="1" xfId="0" applyNumberFormat="1" applyFont="1" applyFill="1" applyBorder="1" applyAlignment="1" applyProtection="1">
      <alignment horizontal="center" vertical="center"/>
    </xf>
    <xf numFmtId="166" fontId="21" fillId="2" borderId="6" xfId="0" applyNumberFormat="1" applyFont="1" applyFill="1" applyBorder="1" applyAlignment="1" applyProtection="1">
      <alignment horizontal="center" vertical="center"/>
    </xf>
    <xf numFmtId="0" fontId="21" fillId="36" borderId="79" xfId="0" applyFont="1" applyFill="1" applyBorder="1" applyAlignment="1" applyProtection="1">
      <alignment horizontal="center" vertical="center"/>
      <protection locked="0"/>
    </xf>
    <xf numFmtId="0" fontId="21" fillId="90" borderId="1" xfId="0" applyFont="1" applyFill="1" applyBorder="1" applyAlignment="1" applyProtection="1">
      <alignment horizontal="center" vertical="center"/>
    </xf>
    <xf numFmtId="0" fontId="20" fillId="41" borderId="0" xfId="0" applyFont="1" applyFill="1" applyBorder="1" applyAlignment="1">
      <alignment horizontal="center" vertical="center" wrapText="1"/>
    </xf>
    <xf numFmtId="0" fontId="20" fillId="103" borderId="69" xfId="0" applyFont="1" applyFill="1" applyBorder="1" applyAlignment="1">
      <alignment horizontal="center" vertical="center" wrapText="1"/>
    </xf>
    <xf numFmtId="0" fontId="20" fillId="103" borderId="17" xfId="0" applyFont="1" applyFill="1" applyBorder="1" applyAlignment="1">
      <alignment horizontal="center" vertical="center" wrapText="1"/>
    </xf>
    <xf numFmtId="0" fontId="20" fillId="103" borderId="24" xfId="0" applyFont="1" applyFill="1" applyBorder="1" applyAlignment="1">
      <alignment horizontal="center" vertical="center" wrapText="1"/>
    </xf>
    <xf numFmtId="44" fontId="20" fillId="89" borderId="26" xfId="2" applyFont="1" applyFill="1" applyBorder="1" applyAlignment="1">
      <alignment horizontal="center" vertical="center" wrapText="1"/>
    </xf>
    <xf numFmtId="0" fontId="20" fillId="40" borderId="77" xfId="0" applyFont="1" applyFill="1" applyBorder="1" applyAlignment="1">
      <alignment horizontal="center" vertical="center" wrapText="1"/>
    </xf>
    <xf numFmtId="0" fontId="21" fillId="90" borderId="22" xfId="0" applyFont="1" applyFill="1" applyBorder="1" applyAlignment="1" applyProtection="1">
      <alignment horizontal="center" vertical="center"/>
      <protection locked="0"/>
    </xf>
    <xf numFmtId="0" fontId="21" fillId="90" borderId="1" xfId="0" applyFont="1" applyFill="1" applyBorder="1" applyAlignment="1" applyProtection="1">
      <alignment horizontal="center" vertical="center"/>
      <protection locked="0"/>
    </xf>
    <xf numFmtId="0" fontId="21" fillId="36" borderId="1" xfId="3" applyFont="1" applyFill="1" applyBorder="1" applyAlignment="1" applyProtection="1">
      <alignment horizontal="center" vertical="center"/>
      <protection locked="0"/>
    </xf>
    <xf numFmtId="166" fontId="23" fillId="90" borderId="6" xfId="0" applyNumberFormat="1" applyFont="1" applyFill="1" applyBorder="1" applyAlignment="1">
      <alignment horizontal="center" vertical="center"/>
    </xf>
    <xf numFmtId="0" fontId="21" fillId="2" borderId="1" xfId="0" applyNumberFormat="1" applyFont="1" applyFill="1" applyBorder="1" applyAlignment="1" applyProtection="1">
      <alignment horizontal="center" vertical="center"/>
    </xf>
    <xf numFmtId="0" fontId="21" fillId="90" borderId="3" xfId="3" applyNumberFormat="1" applyFont="1" applyFill="1" applyBorder="1" applyAlignment="1" applyProtection="1">
      <alignment horizontal="center" vertical="center"/>
      <protection locked="0"/>
    </xf>
    <xf numFmtId="0" fontId="21" fillId="36" borderId="1" xfId="0" applyNumberFormat="1" applyFont="1" applyFill="1" applyBorder="1" applyAlignment="1" applyProtection="1">
      <alignment horizontal="center" vertical="center"/>
      <protection locked="0"/>
    </xf>
    <xf numFmtId="166" fontId="21" fillId="2" borderId="1" xfId="0" applyNumberFormat="1" applyFont="1" applyFill="1" applyBorder="1" applyAlignment="1" applyProtection="1">
      <alignment horizontal="center" vertical="center"/>
    </xf>
    <xf numFmtId="1" fontId="21" fillId="36" borderId="1" xfId="0" applyNumberFormat="1" applyFont="1" applyFill="1" applyBorder="1" applyAlignment="1" applyProtection="1">
      <alignment horizontal="center" vertical="center"/>
    </xf>
    <xf numFmtId="1" fontId="21" fillId="36" borderId="21" xfId="0" applyNumberFormat="1" applyFont="1" applyFill="1" applyBorder="1" applyAlignment="1">
      <alignment horizontal="center" vertical="center"/>
    </xf>
    <xf numFmtId="44" fontId="21" fillId="37" borderId="3" xfId="2" applyNumberFormat="1" applyFont="1" applyFill="1" applyBorder="1" applyAlignment="1">
      <alignment horizontal="center" vertical="center"/>
    </xf>
    <xf numFmtId="166" fontId="21" fillId="2" borderId="5" xfId="0" applyNumberFormat="1" applyFont="1" applyFill="1" applyBorder="1" applyAlignment="1" applyProtection="1">
      <alignment horizontal="center" vertical="center"/>
    </xf>
    <xf numFmtId="3" fontId="0" fillId="0" borderId="0" xfId="0" applyNumberFormat="1"/>
    <xf numFmtId="3" fontId="0" fillId="0" borderId="1" xfId="0" applyNumberFormat="1" applyBorder="1"/>
    <xf numFmtId="44" fontId="0" fillId="0" borderId="0" xfId="2" applyFont="1"/>
    <xf numFmtId="337" fontId="268" fillId="43" borderId="26" xfId="3" applyNumberFormat="1" applyFont="1" applyFill="1" applyBorder="1" applyAlignment="1" applyProtection="1">
      <alignment horizontal="center" vertical="center"/>
      <protection locked="0"/>
    </xf>
    <xf numFmtId="0" fontId="268" fillId="43" borderId="26" xfId="0" applyNumberFormat="1" applyFont="1" applyFill="1" applyBorder="1" applyAlignment="1" applyProtection="1">
      <alignment horizontal="center" vertical="center"/>
      <protection locked="0"/>
    </xf>
    <xf numFmtId="0" fontId="21" fillId="104" borderId="26" xfId="3" applyFont="1" applyFill="1" applyBorder="1" applyAlignment="1" applyProtection="1">
      <alignment horizontal="center" vertical="center"/>
      <protection locked="0"/>
    </xf>
    <xf numFmtId="0" fontId="21" fillId="36" borderId="26" xfId="3" applyFont="1" applyFill="1" applyBorder="1" applyAlignment="1" applyProtection="1">
      <alignment horizontal="center" vertical="center"/>
      <protection locked="0"/>
    </xf>
    <xf numFmtId="0" fontId="269" fillId="36" borderId="26" xfId="3" applyFont="1" applyFill="1" applyBorder="1" applyAlignment="1" applyProtection="1">
      <alignment horizontal="center" vertical="center"/>
      <protection locked="0"/>
    </xf>
    <xf numFmtId="0" fontId="21" fillId="90" borderId="24" xfId="3" applyNumberFormat="1" applyFont="1" applyFill="1" applyBorder="1" applyAlignment="1" applyProtection="1">
      <alignment horizontal="center" vertical="center"/>
      <protection locked="0"/>
    </xf>
    <xf numFmtId="0" fontId="21" fillId="90" borderId="17" xfId="3" applyNumberFormat="1" applyFont="1" applyFill="1" applyBorder="1" applyAlignment="1" applyProtection="1">
      <alignment horizontal="center" vertical="center"/>
      <protection locked="0"/>
    </xf>
    <xf numFmtId="0" fontId="21" fillId="36" borderId="17" xfId="0" applyNumberFormat="1" applyFont="1" applyFill="1" applyBorder="1" applyAlignment="1" applyProtection="1">
      <alignment horizontal="center" vertical="center"/>
      <protection locked="0"/>
    </xf>
    <xf numFmtId="1" fontId="21" fillId="36" borderId="26" xfId="0" applyNumberFormat="1" applyFont="1" applyFill="1" applyBorder="1" applyAlignment="1" applyProtection="1">
      <alignment horizontal="center" vertical="center"/>
      <protection locked="0"/>
    </xf>
    <xf numFmtId="0" fontId="21" fillId="36" borderId="77" xfId="0" applyFont="1" applyFill="1" applyBorder="1" applyAlignment="1" applyProtection="1">
      <alignment horizontal="center" vertical="center"/>
      <protection locked="0"/>
    </xf>
    <xf numFmtId="44" fontId="21" fillId="91" borderId="17" xfId="2" applyFont="1" applyFill="1" applyBorder="1" applyAlignment="1" applyProtection="1">
      <alignment horizontal="center" vertical="center"/>
      <protection locked="0"/>
    </xf>
    <xf numFmtId="44" fontId="21" fillId="91" borderId="17" xfId="2" applyNumberFormat="1" applyFont="1" applyFill="1" applyBorder="1" applyAlignment="1" applyProtection="1">
      <alignment horizontal="center" vertical="center"/>
      <protection locked="0"/>
    </xf>
    <xf numFmtId="0" fontId="21" fillId="89" borderId="24" xfId="0" applyFont="1" applyFill="1" applyBorder="1" applyAlignment="1" applyProtection="1">
      <alignment horizontal="left" vertical="top" wrapText="1"/>
      <protection locked="0"/>
    </xf>
    <xf numFmtId="164" fontId="32" fillId="87" borderId="26" xfId="0" applyNumberFormat="1" applyFont="1" applyFill="1" applyBorder="1" applyAlignment="1" applyProtection="1">
      <alignment horizontal="center" vertical="center" wrapText="1"/>
    </xf>
    <xf numFmtId="44" fontId="21" fillId="37" borderId="17" xfId="2" applyNumberFormat="1" applyFont="1" applyFill="1" applyBorder="1" applyAlignment="1">
      <alignment horizontal="center" vertical="center"/>
    </xf>
    <xf numFmtId="44" fontId="21" fillId="102" borderId="17" xfId="2" applyNumberFormat="1" applyFont="1" applyFill="1" applyBorder="1" applyAlignment="1">
      <alignment horizontal="center" vertical="center"/>
    </xf>
    <xf numFmtId="164" fontId="21" fillId="2" borderId="17" xfId="2" applyNumberFormat="1" applyFont="1" applyFill="1" applyBorder="1" applyAlignment="1">
      <alignment horizontal="center" vertical="center"/>
    </xf>
    <xf numFmtId="166" fontId="21" fillId="2" borderId="17" xfId="2" applyNumberFormat="1" applyFont="1" applyFill="1" applyBorder="1" applyAlignment="1">
      <alignment horizontal="center" vertical="center"/>
    </xf>
    <xf numFmtId="164" fontId="21" fillId="2" borderId="17" xfId="0" applyNumberFormat="1" applyFont="1" applyFill="1" applyBorder="1" applyAlignment="1">
      <alignment horizontal="center" vertical="center"/>
    </xf>
    <xf numFmtId="44" fontId="21" fillId="2" borderId="17" xfId="2" applyFont="1" applyFill="1" applyBorder="1" applyAlignment="1">
      <alignment horizontal="center" vertical="center"/>
    </xf>
    <xf numFmtId="0" fontId="19" fillId="0" borderId="0" xfId="0" applyFont="1" applyFill="1" applyAlignment="1">
      <alignment horizontal="center" vertical="center"/>
    </xf>
    <xf numFmtId="1" fontId="0" fillId="0" borderId="0" xfId="0" applyNumberFormat="1"/>
    <xf numFmtId="0" fontId="22" fillId="0" borderId="0" xfId="0" applyFont="1" applyFill="1" applyAlignment="1">
      <alignment horizontal="right" vertical="center"/>
    </xf>
    <xf numFmtId="164" fontId="19" fillId="0" borderId="0" xfId="0" applyNumberFormat="1" applyFont="1" applyFill="1" applyAlignment="1">
      <alignment horizontal="center" vertical="center"/>
    </xf>
    <xf numFmtId="0" fontId="0" fillId="0" borderId="0" xfId="0" quotePrefix="1"/>
    <xf numFmtId="164" fontId="0" fillId="0" borderId="0" xfId="0" applyNumberFormat="1"/>
    <xf numFmtId="0" fontId="1" fillId="0" borderId="0" xfId="0" applyFont="1" applyAlignment="1">
      <alignment horizontal="right"/>
    </xf>
    <xf numFmtId="166" fontId="0" fillId="0" borderId="0" xfId="0" applyNumberFormat="1"/>
    <xf numFmtId="165" fontId="0" fillId="0" borderId="0" xfId="0" quotePrefix="1" applyNumberFormat="1"/>
    <xf numFmtId="165" fontId="0" fillId="0" borderId="0" xfId="0" applyNumberFormat="1"/>
    <xf numFmtId="0" fontId="19" fillId="0" borderId="0" xfId="0" applyFont="1" applyFill="1" applyAlignment="1">
      <alignment vertical="center"/>
    </xf>
    <xf numFmtId="0" fontId="19" fillId="0" borderId="0" xfId="0" applyFont="1" applyFill="1" applyAlignment="1">
      <alignment horizontal="left" vertical="center"/>
    </xf>
    <xf numFmtId="0" fontId="0" fillId="0" borderId="0" xfId="0" quotePrefix="1" applyAlignment="1">
      <alignment wrapText="1"/>
    </xf>
    <xf numFmtId="2" fontId="0" fillId="0" borderId="0" xfId="0" applyNumberFormat="1"/>
    <xf numFmtId="0" fontId="0" fillId="0" borderId="0" xfId="0" quotePrefix="1" applyAlignment="1"/>
    <xf numFmtId="44" fontId="0" fillId="0" borderId="0" xfId="0" applyNumberFormat="1"/>
    <xf numFmtId="338" fontId="0" fillId="0" borderId="0" xfId="2" applyNumberFormat="1" applyFont="1"/>
    <xf numFmtId="0" fontId="1" fillId="0" borderId="0" xfId="0" applyFont="1" applyAlignment="1">
      <alignment horizontal="center"/>
    </xf>
    <xf numFmtId="0" fontId="0" fillId="0" borderId="0" xfId="0" applyAlignment="1">
      <alignment horizontal="center"/>
    </xf>
    <xf numFmtId="0" fontId="0" fillId="0" borderId="0" xfId="0" applyAlignment="1"/>
    <xf numFmtId="164" fontId="0" fillId="0" borderId="0" xfId="0" applyNumberFormat="1" applyAlignment="1">
      <alignment horizontal="center"/>
    </xf>
    <xf numFmtId="3" fontId="1" fillId="105" borderId="76" xfId="0" applyNumberFormat="1" applyFont="1" applyFill="1" applyBorder="1" applyAlignment="1">
      <alignment wrapText="1"/>
    </xf>
    <xf numFmtId="3" fontId="1" fillId="105" borderId="4" xfId="0" applyNumberFormat="1" applyFont="1" applyFill="1" applyBorder="1" applyAlignment="1">
      <alignment wrapText="1"/>
    </xf>
    <xf numFmtId="3" fontId="0" fillId="0" borderId="6" xfId="0" applyNumberFormat="1" applyBorder="1"/>
    <xf numFmtId="3" fontId="1" fillId="105" borderId="82" xfId="0" applyNumberFormat="1" applyFont="1" applyFill="1" applyBorder="1" applyAlignment="1">
      <alignment horizontal="left"/>
    </xf>
    <xf numFmtId="3" fontId="1" fillId="105" borderId="83" xfId="0" applyNumberFormat="1" applyFont="1" applyFill="1" applyBorder="1" applyAlignment="1">
      <alignment horizontal="left"/>
    </xf>
    <xf numFmtId="0" fontId="0" fillId="0" borderId="1" xfId="0" pivotButton="1" applyBorder="1"/>
    <xf numFmtId="0" fontId="0" fillId="0" borderId="1" xfId="0" applyBorder="1" applyAlignment="1">
      <alignment horizontal="left"/>
    </xf>
    <xf numFmtId="0" fontId="0" fillId="0" borderId="1" xfId="0" applyNumberFormat="1" applyBorder="1"/>
    <xf numFmtId="0" fontId="0" fillId="0" borderId="0" xfId="0" applyAlignment="1">
      <alignment vertical="center"/>
    </xf>
    <xf numFmtId="0" fontId="277" fillId="106" borderId="1" xfId="0" applyFont="1" applyFill="1" applyBorder="1" applyAlignment="1">
      <alignment horizontal="center" vertical="center"/>
    </xf>
    <xf numFmtId="0" fontId="1" fillId="107" borderId="1" xfId="0" applyFont="1" applyFill="1" applyBorder="1" applyAlignment="1">
      <alignment horizontal="center" vertical="center" wrapText="1"/>
    </xf>
    <xf numFmtId="0" fontId="0" fillId="0" borderId="0" xfId="0" applyAlignment="1">
      <alignment vertical="center" wrapText="1"/>
    </xf>
    <xf numFmtId="0" fontId="1" fillId="106" borderId="3" xfId="0" applyFont="1" applyFill="1" applyBorder="1" applyAlignment="1">
      <alignment vertical="center"/>
    </xf>
    <xf numFmtId="0" fontId="0" fillId="106" borderId="2" xfId="0" applyFill="1" applyBorder="1" applyAlignment="1">
      <alignment vertical="center"/>
    </xf>
    <xf numFmtId="0" fontId="0" fillId="0" borderId="17" xfId="0" applyBorder="1" applyAlignment="1">
      <alignment vertical="center"/>
    </xf>
    <xf numFmtId="0" fontId="0" fillId="106" borderId="1" xfId="0" applyFill="1" applyBorder="1" applyAlignment="1">
      <alignment vertical="center"/>
    </xf>
    <xf numFmtId="0" fontId="0" fillId="0" borderId="2" xfId="0" applyBorder="1" applyAlignment="1">
      <alignment vertical="center"/>
    </xf>
    <xf numFmtId="0" fontId="1" fillId="107" borderId="1" xfId="0" applyFont="1" applyFill="1" applyBorder="1" applyAlignment="1">
      <alignment vertical="center"/>
    </xf>
    <xf numFmtId="0" fontId="0" fillId="107" borderId="1" xfId="0" applyFill="1" applyBorder="1" applyAlignment="1">
      <alignment vertical="center"/>
    </xf>
    <xf numFmtId="1" fontId="1" fillId="107" borderId="1" xfId="0" applyNumberFormat="1" applyFont="1" applyFill="1" applyBorder="1" applyAlignment="1">
      <alignment vertical="center"/>
    </xf>
    <xf numFmtId="166" fontId="1" fillId="107" borderId="1" xfId="0" applyNumberFormat="1" applyFont="1" applyFill="1" applyBorder="1" applyAlignment="1">
      <alignment vertical="center"/>
    </xf>
    <xf numFmtId="0" fontId="277" fillId="0" borderId="0" xfId="0" applyFont="1" applyAlignment="1">
      <alignment vertical="center"/>
    </xf>
    <xf numFmtId="166" fontId="0" fillId="106" borderId="1" xfId="0" applyNumberFormat="1" applyFill="1" applyBorder="1" applyAlignment="1">
      <alignment vertical="center"/>
    </xf>
    <xf numFmtId="1" fontId="0" fillId="106" borderId="1" xfId="0" applyNumberFormat="1" applyFill="1" applyBorder="1" applyAlignment="1">
      <alignment vertical="center"/>
    </xf>
    <xf numFmtId="0" fontId="280" fillId="109" borderId="1" xfId="0" applyFont="1" applyFill="1" applyBorder="1" applyAlignment="1">
      <alignment vertical="center" wrapText="1"/>
    </xf>
    <xf numFmtId="0" fontId="281" fillId="106" borderId="1" xfId="0" applyFont="1" applyFill="1" applyBorder="1"/>
    <xf numFmtId="0" fontId="282" fillId="106" borderId="1" xfId="0" applyFont="1" applyFill="1" applyBorder="1" applyAlignment="1">
      <alignment vertical="center"/>
    </xf>
    <xf numFmtId="0" fontId="283" fillId="106" borderId="1" xfId="0" applyFont="1" applyFill="1" applyBorder="1" applyAlignment="1">
      <alignment vertical="center"/>
    </xf>
    <xf numFmtId="0" fontId="283" fillId="106" borderId="1" xfId="0" applyFont="1" applyFill="1" applyBorder="1" applyAlignment="1">
      <alignment horizontal="right" vertical="center"/>
    </xf>
    <xf numFmtId="0" fontId="284" fillId="106" borderId="1" xfId="0" applyFont="1" applyFill="1" applyBorder="1" applyAlignment="1">
      <alignment vertical="center"/>
    </xf>
    <xf numFmtId="0" fontId="1" fillId="106" borderId="1" xfId="0" applyFont="1" applyFill="1" applyBorder="1"/>
    <xf numFmtId="0" fontId="280" fillId="106" borderId="1" xfId="0" applyFont="1" applyFill="1" applyBorder="1" applyAlignment="1">
      <alignment vertical="center"/>
    </xf>
    <xf numFmtId="0" fontId="285" fillId="106" borderId="1" xfId="0" applyFont="1" applyFill="1" applyBorder="1" applyAlignment="1">
      <alignment vertical="center"/>
    </xf>
    <xf numFmtId="0" fontId="285" fillId="106" borderId="1" xfId="0" applyFont="1" applyFill="1" applyBorder="1" applyAlignment="1">
      <alignment horizontal="right" vertical="center"/>
    </xf>
    <xf numFmtId="0" fontId="282" fillId="2" borderId="1" xfId="0" applyFont="1" applyFill="1" applyBorder="1" applyAlignment="1">
      <alignment vertical="center"/>
    </xf>
    <xf numFmtId="0" fontId="283" fillId="2" borderId="1" xfId="0" applyFont="1" applyFill="1" applyBorder="1" applyAlignment="1">
      <alignment vertical="center"/>
    </xf>
    <xf numFmtId="0" fontId="283" fillId="2" borderId="1" xfId="0" applyFont="1" applyFill="1" applyBorder="1" applyAlignment="1">
      <alignment horizontal="right" vertical="center"/>
    </xf>
    <xf numFmtId="0" fontId="283" fillId="2" borderId="1" xfId="0" applyFont="1" applyFill="1" applyBorder="1" applyAlignment="1"/>
    <xf numFmtId="0" fontId="284" fillId="2" borderId="1" xfId="0" applyFont="1" applyFill="1" applyBorder="1" applyAlignment="1">
      <alignment wrapText="1"/>
    </xf>
    <xf numFmtId="0" fontId="280" fillId="2" borderId="1" xfId="0" applyFont="1" applyFill="1" applyBorder="1" applyAlignment="1">
      <alignment vertical="center"/>
    </xf>
    <xf numFmtId="0" fontId="285" fillId="2" borderId="1" xfId="0" applyFont="1" applyFill="1" applyBorder="1" applyAlignment="1">
      <alignment vertical="center"/>
    </xf>
    <xf numFmtId="0" fontId="285" fillId="2" borderId="1" xfId="0" applyFont="1" applyFill="1" applyBorder="1" applyAlignment="1">
      <alignment horizontal="right" vertical="center"/>
    </xf>
    <xf numFmtId="0" fontId="285" fillId="2" borderId="1" xfId="0" applyFont="1" applyFill="1" applyBorder="1" applyAlignment="1"/>
    <xf numFmtId="0" fontId="283" fillId="106" borderId="1" xfId="0" applyFont="1" applyFill="1" applyBorder="1" applyAlignment="1">
      <alignment horizontal="center" vertical="center"/>
    </xf>
    <xf numFmtId="0" fontId="284" fillId="106" borderId="1" xfId="0" applyFont="1" applyFill="1" applyBorder="1" applyAlignment="1">
      <alignment horizontal="left" vertical="center"/>
    </xf>
    <xf numFmtId="0" fontId="285" fillId="106" borderId="1" xfId="0" applyFont="1" applyFill="1" applyBorder="1" applyAlignment="1">
      <alignment horizontal="center" vertical="center"/>
    </xf>
    <xf numFmtId="0" fontId="1" fillId="108" borderId="1" xfId="0" applyFont="1" applyFill="1" applyBorder="1" applyAlignment="1">
      <alignment horizontal="center" wrapText="1"/>
    </xf>
    <xf numFmtId="0" fontId="0" fillId="0" borderId="0" xfId="0" applyAlignment="1">
      <alignment wrapText="1"/>
    </xf>
    <xf numFmtId="0" fontId="278" fillId="109" borderId="1" xfId="0" applyFont="1" applyFill="1" applyBorder="1" applyAlignment="1">
      <alignment wrapText="1"/>
    </xf>
    <xf numFmtId="0" fontId="279" fillId="109" borderId="1" xfId="0" applyFont="1" applyFill="1" applyBorder="1" applyAlignment="1">
      <alignment vertical="center" wrapText="1"/>
    </xf>
    <xf numFmtId="0" fontId="281" fillId="106" borderId="1" xfId="0" applyFont="1" applyFill="1" applyBorder="1" applyAlignment="1">
      <alignment wrapText="1"/>
    </xf>
    <xf numFmtId="0" fontId="282" fillId="106" borderId="1" xfId="0" applyFont="1" applyFill="1" applyBorder="1" applyAlignment="1">
      <alignment vertical="center" wrapText="1"/>
    </xf>
    <xf numFmtId="0" fontId="283" fillId="106" borderId="1" xfId="0" applyFont="1" applyFill="1" applyBorder="1" applyAlignment="1">
      <alignment vertical="center" wrapText="1"/>
    </xf>
    <xf numFmtId="0" fontId="283" fillId="106" borderId="1" xfId="0" applyFont="1" applyFill="1" applyBorder="1" applyAlignment="1">
      <alignment horizontal="right" vertical="center" wrapText="1"/>
    </xf>
    <xf numFmtId="0" fontId="284" fillId="106" borderId="1" xfId="0" applyFont="1" applyFill="1" applyBorder="1" applyAlignment="1">
      <alignment vertical="center" wrapText="1"/>
    </xf>
    <xf numFmtId="0" fontId="1" fillId="106" borderId="1" xfId="0" applyFont="1" applyFill="1" applyBorder="1" applyAlignment="1">
      <alignment wrapText="1"/>
    </xf>
    <xf numFmtId="0" fontId="280" fillId="106" borderId="1" xfId="0" applyFont="1" applyFill="1" applyBorder="1" applyAlignment="1">
      <alignment vertical="center" wrapText="1"/>
    </xf>
    <xf numFmtId="0" fontId="285" fillId="106" borderId="1" xfId="0" applyFont="1" applyFill="1" applyBorder="1" applyAlignment="1">
      <alignment vertical="center" wrapText="1"/>
    </xf>
    <xf numFmtId="0" fontId="285" fillId="106" borderId="1" xfId="0" applyFont="1" applyFill="1" applyBorder="1" applyAlignment="1">
      <alignment horizontal="right" vertical="center" wrapText="1"/>
    </xf>
    <xf numFmtId="0" fontId="281" fillId="2" borderId="1" xfId="0" applyFont="1" applyFill="1" applyBorder="1" applyAlignment="1">
      <alignment wrapText="1"/>
    </xf>
    <xf numFmtId="0" fontId="282" fillId="2" borderId="1" xfId="0" applyFont="1" applyFill="1" applyBorder="1" applyAlignment="1">
      <alignment vertical="center" wrapText="1"/>
    </xf>
    <xf numFmtId="0" fontId="283" fillId="2" borderId="1" xfId="0" applyFont="1" applyFill="1" applyBorder="1" applyAlignment="1">
      <alignment vertical="center" wrapText="1"/>
    </xf>
    <xf numFmtId="0" fontId="283" fillId="2" borderId="1" xfId="0" applyFont="1" applyFill="1" applyBorder="1" applyAlignment="1">
      <alignment horizontal="right" vertical="center" wrapText="1"/>
    </xf>
    <xf numFmtId="0" fontId="283" fillId="2" borderId="1" xfId="0" applyFont="1" applyFill="1" applyBorder="1" applyAlignment="1">
      <alignment wrapText="1"/>
    </xf>
    <xf numFmtId="0" fontId="1" fillId="2" borderId="1" xfId="0" applyFont="1" applyFill="1" applyBorder="1" applyAlignment="1">
      <alignment wrapText="1"/>
    </xf>
    <xf numFmtId="0" fontId="280" fillId="2" borderId="1" xfId="0" applyFont="1" applyFill="1" applyBorder="1" applyAlignment="1">
      <alignment vertical="center" wrapText="1"/>
    </xf>
    <xf numFmtId="0" fontId="285" fillId="2" borderId="1" xfId="0" applyFont="1" applyFill="1" applyBorder="1" applyAlignment="1">
      <alignment vertical="center" wrapText="1"/>
    </xf>
    <xf numFmtId="0" fontId="285" fillId="2" borderId="1" xfId="0" applyFont="1" applyFill="1" applyBorder="1" applyAlignment="1">
      <alignment horizontal="right" vertical="center" wrapText="1"/>
    </xf>
    <xf numFmtId="0" fontId="285" fillId="2" borderId="1" xfId="0" applyFont="1" applyFill="1" applyBorder="1" applyAlignment="1">
      <alignment wrapText="1"/>
    </xf>
    <xf numFmtId="0" fontId="283" fillId="106" borderId="1" xfId="0" applyFont="1" applyFill="1" applyBorder="1" applyAlignment="1">
      <alignment horizontal="center" vertical="center" wrapText="1"/>
    </xf>
    <xf numFmtId="0" fontId="284" fillId="106" borderId="1" xfId="0" applyFont="1" applyFill="1" applyBorder="1" applyAlignment="1">
      <alignment horizontal="left" vertical="center" wrapText="1"/>
    </xf>
    <xf numFmtId="0" fontId="285" fillId="106" borderId="1" xfId="0" applyFont="1" applyFill="1" applyBorder="1" applyAlignment="1">
      <alignment horizontal="center" vertical="center" wrapText="1"/>
    </xf>
    <xf numFmtId="0" fontId="280" fillId="110" borderId="1" xfId="0" applyFont="1" applyFill="1" applyBorder="1" applyAlignment="1">
      <alignment vertical="center"/>
    </xf>
    <xf numFmtId="0" fontId="285" fillId="110" borderId="1" xfId="0" applyFont="1" applyFill="1" applyBorder="1" applyAlignment="1">
      <alignment vertical="center"/>
    </xf>
    <xf numFmtId="0" fontId="285" fillId="106" borderId="3" xfId="0" applyFont="1" applyFill="1" applyBorder="1" applyAlignment="1">
      <alignment horizontal="center" vertical="center"/>
    </xf>
    <xf numFmtId="0" fontId="285" fillId="106" borderId="1" xfId="0" applyFont="1" applyFill="1" applyBorder="1" applyAlignment="1">
      <alignment horizontal="left" vertical="top"/>
    </xf>
    <xf numFmtId="0" fontId="285" fillId="106" borderId="2" xfId="0" applyFont="1" applyFill="1" applyBorder="1" applyAlignment="1">
      <alignment horizontal="center" vertical="center"/>
    </xf>
    <xf numFmtId="0" fontId="285" fillId="106" borderId="1" xfId="0" applyFont="1" applyFill="1" applyBorder="1" applyAlignment="1"/>
    <xf numFmtId="0" fontId="286" fillId="106" borderId="1" xfId="0" applyFont="1" applyFill="1" applyBorder="1" applyAlignment="1">
      <alignment vertical="center"/>
    </xf>
    <xf numFmtId="0" fontId="283" fillId="106" borderId="1" xfId="0" applyFont="1" applyFill="1" applyBorder="1" applyAlignment="1">
      <alignment horizontal="left" vertical="center"/>
    </xf>
    <xf numFmtId="0" fontId="0" fillId="0" borderId="0" xfId="0" applyAlignment="1">
      <alignment horizontal="left"/>
    </xf>
    <xf numFmtId="0" fontId="0" fillId="0" borderId="0" xfId="0" applyAlignment="1">
      <alignment horizontal="left" indent="1"/>
    </xf>
    <xf numFmtId="0" fontId="1" fillId="0" borderId="1" xfId="0" applyFont="1" applyBorder="1"/>
    <xf numFmtId="0" fontId="1" fillId="105" borderId="76" xfId="0" applyFont="1" applyFill="1" applyBorder="1"/>
    <xf numFmtId="0" fontId="1" fillId="105" borderId="82" xfId="0" applyFont="1" applyFill="1" applyBorder="1" applyAlignment="1">
      <alignment horizontal="left"/>
    </xf>
    <xf numFmtId="0" fontId="0" fillId="105" borderId="5" xfId="0" applyFont="1" applyFill="1" applyBorder="1"/>
    <xf numFmtId="0" fontId="0" fillId="105" borderId="7" xfId="0" applyFont="1" applyFill="1" applyBorder="1"/>
  </cellXfs>
  <cellStyles count="2100">
    <cellStyle name="_x000a_386grabber=m" xfId="4"/>
    <cellStyle name="_x000a_386grabber=m 2" xfId="5"/>
    <cellStyle name="_x000a_386grabber=m 3" xfId="6"/>
    <cellStyle name="_x000a_386grabber=m 4" xfId="7"/>
    <cellStyle name="#S W/ COMMAS" xfId="8"/>
    <cellStyle name="$MM B/W Bal" xfId="9"/>
    <cellStyle name="$MM B/W Bal 2" xfId="10"/>
    <cellStyle name="$MM B/W Bal 3" xfId="11"/>
    <cellStyle name="$MM B/W Bal 4" xfId="12"/>
    <cellStyle name="$MM Black Bal" xfId="13"/>
    <cellStyle name="$MM Black Bal 2" xfId="14"/>
    <cellStyle name="$MM Black Bal 3" xfId="15"/>
    <cellStyle name="$MM Black Bal 4" xfId="16"/>
    <cellStyle name="%" xfId="17"/>
    <cellStyle name="% 2" xfId="1887"/>
    <cellStyle name="_x0015__x0002__x0002__x0017_%_x0002__x0002__x0014__x0015__x0003__x0003__x0017_%_x0003__x0003_䖼_x000c__x0004__x0004_㉬" xfId="18"/>
    <cellStyle name="%.0" xfId="19"/>
    <cellStyle name="(Red)" xfId="20"/>
    <cellStyle name="," xfId="21"/>
    <cellStyle name=",.0" xfId="22"/>
    <cellStyle name="､@ｯ・pldt" xfId="23"/>
    <cellStyle name=".25" xfId="24"/>
    <cellStyle name=";;;" xfId="25"/>
    <cellStyle name="??" xfId="26"/>
    <cellStyle name="?? [0]_BC_VINT" xfId="27"/>
    <cellStyle name="?? 2" xfId="1889"/>
    <cellStyle name="???[0]_AUSTRLIA" xfId="28"/>
    <cellStyle name="???_AUSTRLIA" xfId="29"/>
    <cellStyle name="??_AUSTRLIA" xfId="30"/>
    <cellStyle name="?@?ทpldt" xfId="31"/>
    <cellStyle name="_%(SignOnly)" xfId="32"/>
    <cellStyle name="_%(SignOnly)_Project Intrepid Precedents_v01" xfId="33"/>
    <cellStyle name="_%(SignSpaceOnly)" xfId="34"/>
    <cellStyle name="_%(SignSpaceOnly)_Project Intrepid Precedents_v01" xfId="35"/>
    <cellStyle name="_05_Recovery Forecast - 2007_July07" xfId="36"/>
    <cellStyle name="_05_Recovery Forecast - 2007_July07_2008 vs  2009 Global Rates Consolidation - 02-12-2009-(Herz)" xfId="37"/>
    <cellStyle name="_09-05 FCST Summary_Kessinger" xfId="38"/>
    <cellStyle name="_10-05 FCST Summary_Kessinger" xfId="39"/>
    <cellStyle name="_12-05 FCST Summary" xfId="40"/>
    <cellStyle name="_1Q Line Item Comparison v7   4-16X  " xfId="41"/>
    <cellStyle name="_2004 Capital Plan Summary_Globalv4JULY" xfId="42"/>
    <cellStyle name="_2004P v6a - ALLOCATIONS BY PLATFORM - ex HK COB ~ Aug Cut 14 Sept 04" xfId="43"/>
    <cellStyle name="_2004P v6a - ALLOCATIONS BY PLATFORM - ex HK COB ~ Jul Cut 14 Aug 04" xfId="44"/>
    <cellStyle name="_2004P v6a - ALLOCATIONS BY PLATFORM - ex HK COB ~ May Cut 14 Jun 04" xfId="45"/>
    <cellStyle name="_2004P v6a - ALLOCATIONS BY PLATFORM - ex HK COB ~ Nov Cut 14 Dec 04" xfId="46"/>
    <cellStyle name="_2004P v6a - ALLOCATIONS BY PLATFORM - ex HK COB ~ Oct Cut 12 Nov 04" xfId="47"/>
    <cellStyle name="_2004P v6a - ALLOCATIONS BY PLATFORM - ex HK COB ~ Sep Cut 14 Oct 04" xfId="48"/>
    <cellStyle name="_2004P v6a - ALLOCATIONS BY PLATFORM - ex HK COB v16~Dec Cut with IBM Cards Actual Usage" xfId="49"/>
    <cellStyle name="_2004P v6a - ALLOCATIONS BY PLATFORM - ex HK COB v16a~Dec Cut revised 30 Jan~Actual &amp; Volume" xfId="50"/>
    <cellStyle name="_2004P v6a - ALLOCATIONS BY PLATFORM - ex HK COB v17~Jan Cut 10 Feb~Actual &amp; Volume" xfId="51"/>
    <cellStyle name="_2004P v6a - ALLOCATIONS BY PLATFORM - ex HK COB v17a~Jan Cut 11 Feb~Actual &amp; Volume" xfId="52"/>
    <cellStyle name="_2004P v6a - ALLOCATIONS BY PLATFORM - ex HK COB v18~Feb Cut 11 Mar~Actual &amp; Volume" xfId="53"/>
    <cellStyle name="_2004P v6a - ALLOCATIONS BY PLATFORM - ex HK COB v19~Mar Cut 14 Apr~Actual &amp; Volume" xfId="54"/>
    <cellStyle name="_2004P v6a - ALLOCATIONS BY PLATFORM - ex HK COB v20~Apr Cut 11 May~Actual &amp; Volume" xfId="55"/>
    <cellStyle name="_2004P v8 - CAPEX(EW) CONSO" xfId="56"/>
    <cellStyle name="_2004P v8 - CAPEX(EW)-2004 NEW3" xfId="57"/>
    <cellStyle name="_2005 ALLOCATIONS BY PLATFORM ~ Apr Cut 10 May 05" xfId="58"/>
    <cellStyle name="_2005 ALLOCATIONS BY PLATFORM ~ Aug Cut 12 Sep 05" xfId="59"/>
    <cellStyle name="_2005 ALLOCATIONS BY PLATFORM ~ Dec Cut 13 Jan 05" xfId="60"/>
    <cellStyle name="_2005 ALLOCATIONS BY PLATFORM ~ Feb Cut 9 Mar 05" xfId="61"/>
    <cellStyle name="_2005 ALLOCATIONS BY PLATFORM ~ Jan Cut 7 Feb 05" xfId="62"/>
    <cellStyle name="_2005 ALLOCATIONS BY PLATFORM ~ Jul Cut 15 Aug 05" xfId="63"/>
    <cellStyle name="_2005 ALLOCATIONS BY PLATFORM ~ Jun Cut 12 Jul 05" xfId="64"/>
    <cellStyle name="_2005 ALLOCATIONS BY PLATFORM ~ Mar Cut 11 Apr 05" xfId="65"/>
    <cellStyle name="_2005 ALLOCATIONS BY PLATFORM ~ May Cut 13 Jun 05" xfId="66"/>
    <cellStyle name="_2005 ALLOCATIONS BY PLATFORM ~ Nov Cut 9 Dec 05" xfId="67"/>
    <cellStyle name="_2005 ALLOCATIONS BY PLATFORM ~ Oct Cut 11 Nov 05" xfId="68"/>
    <cellStyle name="_2005 ALLOCATIONS BY PLATFORM ~ Sep Cut 10 Oct 05" xfId="69"/>
    <cellStyle name="_2005 Budget Review Template - 072804_v2" xfId="70"/>
    <cellStyle name="_2005 Budget Review Template - 072804_v2_DC RecoveryJPN_031105" xfId="71"/>
    <cellStyle name="_2005 Budget Review Template - 072804_v2_RecovSched JanFeb05 Act vs Plan" xfId="72"/>
    <cellStyle name="_2005 Budget Review Template - 072804_v2_RecovSched JanFeb05 Act vs Plan (JPN)" xfId="73"/>
    <cellStyle name="_2005 Budget Review Template - 072804_v2_RecovSched JanFeb05 Act vs Plan_TW" xfId="74"/>
    <cellStyle name="_2005 Capital Actual-Forecast - Stemmler 033105" xfId="75"/>
    <cellStyle name="_2005 Capital Actual-Forecast - Stemmler 042205 SUMMARY " xfId="76"/>
    <cellStyle name="_2005 Capital Actual-Forecast - Stemmler 051805 FOR REVIEW a" xfId="77"/>
    <cellStyle name="_2005 Server Cost" xfId="78"/>
    <cellStyle name="_2005 Server Cost_Book1" xfId="79"/>
    <cellStyle name="_2005 Server Cost_CFJ bill - Aug06(Rev)" xfId="80"/>
    <cellStyle name="_2005 Server Cost_CFJ-Billing2006" xfId="81"/>
    <cellStyle name="_2005 Server Cost_Jan-Jun06InvoiceForGlobalCharge" xfId="82"/>
    <cellStyle name="_2005 Server Cost_Rate Sheet v10 - 0614 - wintel update" xfId="83"/>
    <cellStyle name="_2005 Server Cost_Rate Sheet v18 a - 0619" xfId="84"/>
    <cellStyle name="_2005 Server Cost_Rate Sheet v20 - 0620" xfId="85"/>
    <cellStyle name="_2005 Server Cost_Rate Sheet v21 - 0620" xfId="86"/>
    <cellStyle name="_2005 Server Cost_Rate Sheet v22 - 0620" xfId="87"/>
    <cellStyle name="_2005 Server Cost_Rate Sheet v23 - 0621" xfId="88"/>
    <cellStyle name="_2005 Server Cost_Rate Sheet v26 - 0621 - ed revision" xfId="89"/>
    <cellStyle name="_2005 Server Cost_Rate Sheet v27 - 0622" xfId="90"/>
    <cellStyle name="_2005 Server Cost_Rate Sheet v29 - 0623 for billing" xfId="91"/>
    <cellStyle name="_2005 Server Cost_Rate Sheet v30 - 0623" xfId="92"/>
    <cellStyle name="_2005 Server Cost_Rate Sheet v33 - 0725" xfId="93"/>
    <cellStyle name="_2005 Server Cost_Rate Sheet v34 - 0817" xfId="94"/>
    <cellStyle name="_2005 Server Cost_Rate Sheet v35 - 0823 - YTD adjust" xfId="95"/>
    <cellStyle name="_2005 Server Cost_Rate Sheet v36 - 0831 - b" xfId="96"/>
    <cellStyle name="_2005 Server Cost_Rate Sheet v36b - 0831" xfId="97"/>
    <cellStyle name="_2005 Server Cost_Rate Sheet v39 - 1019" xfId="98"/>
    <cellStyle name="_2005 Server Cost_Rate Sheet v40 - 1114" xfId="99"/>
    <cellStyle name="_2005P Travel Template - 23 JUN - Jason" xfId="1890"/>
    <cellStyle name="_2006 ALLOCATIONS ~ Dec Cut 11 Jan 06" xfId="100"/>
    <cellStyle name="_2006 ALLOCATIONS ~ Feb Cut 13 Mar 06" xfId="101"/>
    <cellStyle name="_2006 ALLOCATIONS ~ Jan Cut 10 Feb 06" xfId="102"/>
    <cellStyle name="_2006 Budget Review Template v5_071205" xfId="103"/>
    <cellStyle name="_2006 Total CTI NA 1116" xfId="104"/>
    <cellStyle name="_2006-07 CIB Asia Review Deck" xfId="105"/>
    <cellStyle name="_2006-07 CIB Asia Review Deck_2010 Final Rates vs  2009_Aug06 - Japan" xfId="106"/>
    <cellStyle name="_2006-12 GWM Asia Review Deck" xfId="107"/>
    <cellStyle name="_2006-12 GWM Asia Review Deck_2010 Final Rates vs  2009_Aug06 - Japan" xfId="108"/>
    <cellStyle name="_2007 Functional Transfer (012507)" xfId="109"/>
    <cellStyle name="_2007 Functional Transfer Asia" xfId="110"/>
    <cellStyle name="_2007 GWM projects" xfId="111"/>
    <cellStyle name="_2007 Plan - Investment Initiatives" xfId="112"/>
    <cellStyle name="_2007 Plan_Unit Rates (Asia)" xfId="113"/>
    <cellStyle name="_2007 Plan_Unit Rates (Asia)_2010 Final Rates vs  2009_Aug06 - Japan" xfId="114"/>
    <cellStyle name="_2007_PLAN_Global_GWM_10-2v3" xfId="115"/>
    <cellStyle name="_2008 EMEA Data Centre Rates" xfId="116"/>
    <cellStyle name="_2008 EMEA Data Centre Rates_2008 vs  2009 Global Rates Consolidation - 02-12-2009-(Herz)" xfId="117"/>
    <cellStyle name="_2009 Downside Model_Final" xfId="118"/>
    <cellStyle name="_2009 Downside Model_Final (2)" xfId="119"/>
    <cellStyle name="_2009 Plan Int FX Rates (Major excluding USD)" xfId="120"/>
    <cellStyle name="_23 Feb 04~Revised Actual Jan'04 Chargeout~add JapCitiFinancials &amp; China ICCC" xfId="121"/>
    <cellStyle name="_23 Feb 04~Revised Actual Jan'04 Chargeout~add JapCitiFinancials &amp; China ICCC_2010 Final Rates vs  2009_Aug06 - Japan" xfId="122"/>
    <cellStyle name="_5, 6.5) Latam Oct BSheet CB" xfId="123"/>
    <cellStyle name="_6.3) BS LATAM cards &amp; banking" xfId="124"/>
    <cellStyle name="_APANI PIF" xfId="1891"/>
    <cellStyle name="_APPC 2004 FYF (for MYF) Comparison" xfId="125"/>
    <cellStyle name="_APPC 2004 FYF (for MYF) Comparison v1" xfId="126"/>
    <cellStyle name="_APPC 2004 JUNE FORECAST" xfId="127"/>
    <cellStyle name="_APPC 2004 RCOB Billing" xfId="128"/>
    <cellStyle name="_APPC 2004 RCOB Billing_2010 Final Rates vs  2009_Aug06 - Japan" xfId="129"/>
    <cellStyle name="_APPC 2005 Unit Cost" xfId="130"/>
    <cellStyle name="_APPC 2005P Allocations - GCIB Indonesia" xfId="131"/>
    <cellStyle name="_APPC 2005P Allocations - GCIB Indonesia_2010 Final Rates vs  2009_Aug06 - Japan" xfId="132"/>
    <cellStyle name="_APPC 2005P Allocations - GCIB Indonesia-revAug24" xfId="133"/>
    <cellStyle name="_APPC 2005P Allocations - GCIB Indonesia-revAug24_2010 Final Rates vs  2009_Aug06 - Japan" xfId="134"/>
    <cellStyle name="_APPC 2005P Allocations 1st Cut v8a" xfId="135"/>
    <cellStyle name="_APPC 2005P Allocations 1st Cut v8a_2010 Final Rates vs  2009_Aug06 - Japan" xfId="136"/>
    <cellStyle name="_APPC 2005P TCO" xfId="137"/>
    <cellStyle name="_APPC Allocations - 2004ACT vs 2005P vs 2005Act_Fcst" xfId="138"/>
    <cellStyle name="_APPC Apr'04 Chargeout" xfId="139"/>
    <cellStyle name="_APPC Apr'04 Chargeout_2010 Final Rates vs  2009_Aug06 - Japan" xfId="140"/>
    <cellStyle name="_APPC April 2005 Chargeout - BAU (Cty Fincon)" xfId="141"/>
    <cellStyle name="_APPC April 2005 Chargeout - BAU (Cty Fincon)_2010 Final Rates vs  2009_Aug06 - Japan" xfId="142"/>
    <cellStyle name="_APPC April 2005 Chargeout - NSR (Cty Fincon)" xfId="143"/>
    <cellStyle name="_APPC April 2005 Chargeout - NSR (Cty Fincon)_2010 Final Rates vs  2009_Aug06 - Japan" xfId="144"/>
    <cellStyle name="_APPC August'04 Chargeout" xfId="145"/>
    <cellStyle name="_APPC August'04 Chargeout_2010 Final Rates vs  2009_Aug06 - Japan" xfId="146"/>
    <cellStyle name="_APPC December'04 Chargeout" xfId="147"/>
    <cellStyle name="_APPC December'04 Chargeout_2010 Final Rates vs  2009_Aug06 - Japan" xfId="148"/>
    <cellStyle name="_APPC Feb'04 Chargeout" xfId="149"/>
    <cellStyle name="_APPC Feb'04 Chargeout_2010 Final Rates vs  2009_Aug06 - Japan" xfId="150"/>
    <cellStyle name="_APPC February 2005 Chargeout - BAU" xfId="151"/>
    <cellStyle name="_APPC February 2005 Chargeout - BAU_2010 Final Rates vs  2009_Aug06 - Japan" xfId="152"/>
    <cellStyle name="_APPC February 2005 Chargeout - NSR" xfId="153"/>
    <cellStyle name="_APPC February 2005 Chargeout - NSR_2010 Final Rates vs  2009_Aug06 - Japan" xfId="154"/>
    <cellStyle name="_APPC Jan05-May05 Allocations" xfId="155"/>
    <cellStyle name="_APPC Jan05-May05 Allocations_2010 Final Rates vs  2009_Aug06 - Japan" xfId="156"/>
    <cellStyle name="_APPC July'04 Chargeout" xfId="157"/>
    <cellStyle name="_APPC July'04 Chargeout_2010 Final Rates vs  2009_Aug06 - Japan" xfId="158"/>
    <cellStyle name="_APPC June 2005 Chargeout - BAU" xfId="159"/>
    <cellStyle name="_APPC June 2005 Chargeout - BAU_2010 Final Rates vs  2009_Aug06 - Japan" xfId="160"/>
    <cellStyle name="_APPC June 2005 Chargeout - NSR" xfId="161"/>
    <cellStyle name="_APPC June 2005 Chargeout - NSR_2010 Final Rates vs  2009_Aug06 - Japan" xfId="162"/>
    <cellStyle name="_APPC June'04 Chargeout" xfId="163"/>
    <cellStyle name="_APPC June'04 Chargeout_2010 Final Rates vs  2009_Aug06 - Japan" xfId="164"/>
    <cellStyle name="_APPC Mar'04 Chargeout - includes CBS Upld File" xfId="165"/>
    <cellStyle name="_APPC Mar'04 Chargeout - includes CBS Upld File_2010 Final Rates vs  2009_Aug06 - Japan" xfId="166"/>
    <cellStyle name="_APPC March 2005 Chargeout - BAU (Ctry Fincon)" xfId="167"/>
    <cellStyle name="_APPC March 2005 Chargeout - BAU (Ctry Fincon)_2010 Final Rates vs  2009_Aug06 - Japan" xfId="168"/>
    <cellStyle name="_APPC March 2005 Chargeout - NSR (Ctry Fincon)" xfId="169"/>
    <cellStyle name="_APPC March 2005 Chargeout - NSR (Ctry Fincon)_2010 Final Rates vs  2009_Aug06 - Japan" xfId="170"/>
    <cellStyle name="_APPC May'04 Chargeout" xfId="171"/>
    <cellStyle name="_APPC May'04 Chargeout_2010 Final Rates vs  2009_Aug06 - Japan" xfId="172"/>
    <cellStyle name="_APPC November'04 Chargeout" xfId="173"/>
    <cellStyle name="_APPC November'04 Chargeout_2010 Final Rates vs  2009_Aug06 - Japan" xfId="174"/>
    <cellStyle name="_APPC October'04 Chargeout" xfId="175"/>
    <cellStyle name="_APPC October'04 Chargeout_2010 Final Rates vs  2009_Aug06 - Japan" xfId="176"/>
    <cellStyle name="_APPC Plan05 vs Jan05-Jun05 Allocations" xfId="177"/>
    <cellStyle name="_APPC Plan05 vs Jan05-Jun05 Allocations_2010 Final Rates vs  2009_Aug06 - Japan" xfId="178"/>
    <cellStyle name="_APPC September'04 Chargeout" xfId="179"/>
    <cellStyle name="_APPC September'04 Chargeout_2010 Final Rates vs  2009_Aug06 - Japan" xfId="180"/>
    <cellStyle name="_APPC Total (Jan to Mar)" xfId="181"/>
    <cellStyle name="_APPC Total (Jan to Mar)_2010 Final Rates vs  2009_Aug06 - Japan" xfId="182"/>
    <cellStyle name="_Apr Usage - 10 May 2005" xfId="183"/>
    <cellStyle name="_Apr Usage - 10 May 2005_2010 Final Rates vs  2009_Aug06 - Japan" xfId="184"/>
    <cellStyle name="_Aries CIB Model_v16" xfId="185"/>
    <cellStyle name="_Aries CIB Model_v28" xfId="186"/>
    <cellStyle name="_Aries CIB Model_v301" xfId="187"/>
    <cellStyle name="_Aries Model  - GCG Reconnected (Expenses and other outstanding) v10" xfId="188"/>
    <cellStyle name="_Aries Model 101906" xfId="189"/>
    <cellStyle name="_Aries Model 101906 - CIB Return" xfId="190"/>
    <cellStyle name="_Aries Model Draft 15 PrimSh v9 - Marco's Model - NPv5" xfId="191"/>
    <cellStyle name="_Asia 2005 Budget Review_Sep3 update" xfId="192"/>
    <cellStyle name="_Asia 2005 Budget Review_Sep3 update_DC RecoveryJPN_031105" xfId="193"/>
    <cellStyle name="_Asia 2005 Budget Review_Sep3 update_RecovSched JanFeb05 Act vs Plan" xfId="194"/>
    <cellStyle name="_Asia 2005 Budget Review_Sep3 update_RecovSched JanFeb05 Act vs Plan (JPN)" xfId="195"/>
    <cellStyle name="_Asia 2005 Budget Review_Sep3 update_RecovSched JanFeb05 Act vs Plan_TW" xfId="196"/>
    <cellStyle name="_Asia CTI - 2007 Plan CIB wkgs v1" xfId="197"/>
    <cellStyle name="_At Risk Consol" xfId="198"/>
    <cellStyle name="_Aug Usage - 12 Sep 05" xfId="199"/>
    <cellStyle name="_Aug Usage - 12 Sep 05_2010 Final Rates vs  2009_Aug06 - Japan" xfId="200"/>
    <cellStyle name="_Balance Sheet Sent by Paulo Marchi1" xfId="201"/>
    <cellStyle name="_BMG 31" xfId="202"/>
    <cellStyle name="_BMG_49" xfId="203"/>
    <cellStyle name="_BMG_55" xfId="204"/>
    <cellStyle name="_BMG_58 (2)" xfId="205"/>
    <cellStyle name="_BMG_62" xfId="206"/>
    <cellStyle name="_BMG_63" xfId="207"/>
    <cellStyle name="_Book1" xfId="208"/>
    <cellStyle name="_Book1 2" xfId="1892"/>
    <cellStyle name="_Book1_Final Oct Private Bank APPDEV Deck" xfId="209"/>
    <cellStyle name="_Book1_Final Oct SB Deck AppDev" xfId="210"/>
    <cellStyle name="_Book2" xfId="211"/>
    <cellStyle name="_Book2_2008 Plan_CTI Unit Rates_29 Aug 07" xfId="212"/>
    <cellStyle name="_Book2_2008 Plan_CTI Unit Rates_29 Aug 07_2008 vs  2009 Global Rates Consolidation - 02-12-2009-(Herz)" xfId="213"/>
    <cellStyle name="_Book2_2009 CTI NA Product Card (12-18-08)-v2" xfId="214"/>
    <cellStyle name="_Book2_2010 Final Rates vs  2009_Aug06 - Japan" xfId="215"/>
    <cellStyle name="_Book2_Book1" xfId="216"/>
    <cellStyle name="_Book2_CFJ bill - Aug06(Rev)" xfId="217"/>
    <cellStyle name="_Book2_CFJ-Billing2006" xfId="218"/>
    <cellStyle name="_Book2_Jan-Jun06InvoiceForGlobalCharge" xfId="219"/>
    <cellStyle name="_Book2_Rate Sheet v10 - 0614 - wintel update" xfId="220"/>
    <cellStyle name="_Book2_Rate Sheet v18 a - 0619" xfId="221"/>
    <cellStyle name="_Book2_Rate Sheet v20 - 0620" xfId="222"/>
    <cellStyle name="_Book2_Rate Sheet v21 - 0620" xfId="223"/>
    <cellStyle name="_Book2_Rate Sheet v22 - 0620" xfId="224"/>
    <cellStyle name="_Book2_Rate Sheet v23 - 0621" xfId="225"/>
    <cellStyle name="_Book2_Rate Sheet v26 - 0621 - ed revision" xfId="226"/>
    <cellStyle name="_Book2_Rate Sheet v27 - 0622" xfId="227"/>
    <cellStyle name="_Book2_Rate Sheet v29 - 0623 for billing" xfId="228"/>
    <cellStyle name="_Book2_Rate Sheet v30 - 0623" xfId="229"/>
    <cellStyle name="_Book2_Rate Sheet v33 - 0725" xfId="230"/>
    <cellStyle name="_Book2_Rate Sheet v34 - 0817" xfId="231"/>
    <cellStyle name="_Book2_Rate Sheet v35 - 0823 - YTD adjust" xfId="232"/>
    <cellStyle name="_Book2_Rate Sheet v36 - 0831 - b" xfId="233"/>
    <cellStyle name="_Book2_Rate Sheet v36b - 0831" xfId="234"/>
    <cellStyle name="_Book2_Rate Sheet v39 - 1019" xfId="235"/>
    <cellStyle name="_Book2_Rate Sheet v40 - 1114" xfId="236"/>
    <cellStyle name="_Book2_Rates - Detail" xfId="237"/>
    <cellStyle name="_Book2_Rates - Detail_2010 Final Rates vs  2009_Aug06 - Japan" xfId="238"/>
    <cellStyle name="_Book3" xfId="239"/>
    <cellStyle name="_Book5" xfId="240"/>
    <cellStyle name="_Book5_2010 Final Rates vs  2009_Aug06 - Japan" xfId="241"/>
    <cellStyle name="_Budget for Mercury WISI v1.0 (without network stuff)" xfId="242"/>
    <cellStyle name="_budget-master-02Aug2002d" xfId="243"/>
    <cellStyle name="_budget-master-02Aug2002d_2010 Final Rates vs  2009_Aug06 - Japan" xfId="244"/>
    <cellStyle name="_Business Hardware Detail" xfId="245"/>
    <cellStyle name="_Business Hardware Detail_Book1" xfId="246"/>
    <cellStyle name="_Business Hardware Detail_CFJ bill - Aug06(Rev)" xfId="247"/>
    <cellStyle name="_Business Hardware Detail_CFJ-Billing2006" xfId="248"/>
    <cellStyle name="_Business Hardware Detail_Jan-Jun06InvoiceForGlobalCharge" xfId="249"/>
    <cellStyle name="_Business Hardware Detail_Rate Sheet v10 - 0614 - wintel update" xfId="250"/>
    <cellStyle name="_Business Hardware Detail_Rate Sheet v18 a - 0619" xfId="251"/>
    <cellStyle name="_Business Hardware Detail_Rate Sheet v20 - 0620" xfId="252"/>
    <cellStyle name="_Business Hardware Detail_Rate Sheet v21 - 0620" xfId="253"/>
    <cellStyle name="_Business Hardware Detail_Rate Sheet v22 - 0620" xfId="254"/>
    <cellStyle name="_Business Hardware Detail_Rate Sheet v23 - 0621" xfId="255"/>
    <cellStyle name="_Business Hardware Detail_Rate Sheet v26 - 0621 - ed revision" xfId="256"/>
    <cellStyle name="_Business Hardware Detail_Rate Sheet v27 - 0622" xfId="257"/>
    <cellStyle name="_Business Hardware Detail_Rate Sheet v29 - 0623 for billing" xfId="258"/>
    <cellStyle name="_Business Hardware Detail_Rate Sheet v30 - 0623" xfId="259"/>
    <cellStyle name="_Business Hardware Detail_Rate Sheet v33 - 0725" xfId="260"/>
    <cellStyle name="_Business Hardware Detail_Rate Sheet v34 - 0817" xfId="261"/>
    <cellStyle name="_Business Hardware Detail_Rate Sheet v35 - 0823 - YTD adjust" xfId="262"/>
    <cellStyle name="_Business Hardware Detail_Rate Sheet v36 - 0831 - b" xfId="263"/>
    <cellStyle name="_Business Hardware Detail_Rate Sheet v36b - 0831" xfId="264"/>
    <cellStyle name="_Business Hardware Detail_Rate Sheet v39 - 1019" xfId="265"/>
    <cellStyle name="_Business Hardware Detail_Rate Sheet v40 - 1114" xfId="266"/>
    <cellStyle name="_Business Review_FYF10" xfId="267"/>
    <cellStyle name="_Business Review_IT_FYF11" xfId="268"/>
    <cellStyle name="_Business Review_Template" xfId="269"/>
    <cellStyle name="_Business Review_Walt_Total IT_FYF04" xfId="270"/>
    <cellStyle name="_BVI ENTRY 2006_0518" xfId="271"/>
    <cellStyle name="_Capital forecast 12 30 08" xfId="272"/>
    <cellStyle name="_CC Org Chrt 0705" xfId="273"/>
    <cellStyle name="_CIB ASIA YTD AUG06" xfId="274"/>
    <cellStyle name="_CIB Return - Update" xfId="275"/>
    <cellStyle name="_CIB Return - Update_Project Silk 290307" xfId="276"/>
    <cellStyle name="_CIB_Proj Recovery Fct_Sep to Dec06_sent" xfId="277"/>
    <cellStyle name="_CIB_Proj Recovery Fct_Sep to Dec06_sent_2010 Final Rates vs  2009_Aug06 - Japan" xfId="278"/>
    <cellStyle name="_CLG IT Mthly Schedules (2)" xfId="279"/>
    <cellStyle name="_CM synergies - FROM BUSINESS" xfId="280"/>
    <cellStyle name="_CM synergies - FROM BUSINESS v2" xfId="281"/>
    <cellStyle name="_CM synergies - FROM BUSINESS v2_Project Silk 290307" xfId="282"/>
    <cellStyle name="_CM synergies - FROM BUSINESS v3" xfId="283"/>
    <cellStyle name="_CM synergies - FROM BUSINESS v3_Project Silk 290307" xfId="284"/>
    <cellStyle name="_CM synergies - FROM BUSINESS_Project Silk 290307" xfId="285"/>
    <cellStyle name="_CMB_v1" xfId="286"/>
    <cellStyle name="_Comma" xfId="287"/>
    <cellStyle name="_Comma_Project Intrepid Precedents_v01" xfId="288"/>
    <cellStyle name="_Commercial Pro Forma P&amp;L 011109" xfId="289"/>
    <cellStyle name="_Commercial Pro Forma v2" xfId="290"/>
    <cellStyle name="_Common_Installed Servers_DMips_10-11-05" xfId="291"/>
    <cellStyle name="_Common_Installed Servers_DMips_10-11-05_Book1" xfId="292"/>
    <cellStyle name="_Common_Installed Servers_DMips_10-11-05_CFJ bill - Aug06(Rev)" xfId="293"/>
    <cellStyle name="_Common_Installed Servers_DMips_10-11-05_CFJ-Billing2006" xfId="294"/>
    <cellStyle name="_Common_Installed Servers_DMips_10-11-05_Jan-Jun06InvoiceForGlobalCharge" xfId="295"/>
    <cellStyle name="_Common_Installed Servers_DMips_10-11-05_Rate Sheet v10 - 0614 - wintel update" xfId="296"/>
    <cellStyle name="_Common_Installed Servers_DMips_10-11-05_Rate Sheet v18 a - 0619" xfId="297"/>
    <cellStyle name="_Common_Installed Servers_DMips_10-11-05_Rate Sheet v20 - 0620" xfId="298"/>
    <cellStyle name="_Common_Installed Servers_DMips_10-11-05_Rate Sheet v21 - 0620" xfId="299"/>
    <cellStyle name="_Common_Installed Servers_DMips_10-11-05_Rate Sheet v22 - 0620" xfId="300"/>
    <cellStyle name="_Common_Installed Servers_DMips_10-11-05_Rate Sheet v23 - 0621" xfId="301"/>
    <cellStyle name="_Common_Installed Servers_DMips_10-11-05_Rate Sheet v26 - 0621 - ed revision" xfId="302"/>
    <cellStyle name="_Common_Installed Servers_DMips_10-11-05_Rate Sheet v27 - 0622" xfId="303"/>
    <cellStyle name="_Common_Installed Servers_DMips_10-11-05_Rate Sheet v29 - 0623 for billing" xfId="304"/>
    <cellStyle name="_Common_Installed Servers_DMips_10-11-05_Rate Sheet v30 - 0623" xfId="305"/>
    <cellStyle name="_Common_Installed Servers_DMips_10-11-05_Rate Sheet v33 - 0725" xfId="306"/>
    <cellStyle name="_Common_Installed Servers_DMips_10-11-05_Rate Sheet v34 - 0817" xfId="307"/>
    <cellStyle name="_Common_Installed Servers_DMips_10-11-05_Rate Sheet v35 - 0823 - YTD adjust" xfId="308"/>
    <cellStyle name="_Common_Installed Servers_DMips_10-11-05_Rate Sheet v36 - 0831 - b" xfId="309"/>
    <cellStyle name="_Common_Installed Servers_DMips_10-11-05_Rate Sheet v36b - 0831" xfId="310"/>
    <cellStyle name="_Common_Installed Servers_DMips_10-11-05_Rate Sheet v39 - 1019" xfId="311"/>
    <cellStyle name="_Common_Installed Servers_DMips_10-11-05_Rate Sheet v40 - 1114" xfId="312"/>
    <cellStyle name="_Comparison" xfId="313"/>
    <cellStyle name="_Concur Analysis" xfId="314"/>
    <cellStyle name="_Consol-Portfolio v1" xfId="315"/>
    <cellStyle name="_Consol-Portfolio v1_2010 Final Rates vs  2009_Aug06 - Japan" xfId="316"/>
    <cellStyle name="_Consumer Finance Data request AxJ" xfId="317"/>
    <cellStyle name="_Copy of EMEA 2008 Volumes &amp; Rates v 4" xfId="318"/>
    <cellStyle name="_Copy of EMEA 2008 Volumes &amp; Rates v 4_2008 vs  2009 Global Rates Consolidation - 02-12-2009-(Herz)" xfId="319"/>
    <cellStyle name="_Cover" xfId="320"/>
    <cellStyle name="_CRS Asia Fin47 Statistics Final" xfId="321"/>
    <cellStyle name="_CSI_Info_20080213" xfId="1893"/>
    <cellStyle name="_CTI - GCB Asia Recovery Review _Feb2005_APPC" xfId="322"/>
    <cellStyle name="_CTI - GCB Asia Recovery Review _Feb2005_APPC_2010 Final Rates vs  2009_Aug06 - Japan" xfId="323"/>
    <cellStyle name="_CTI Estimate" xfId="324"/>
    <cellStyle name="_CTI Total" xfId="325"/>
    <cellStyle name="_CTI Total_2010 Final Rates vs  2009_Aug06 - Japan" xfId="326"/>
    <cellStyle name="_Currency" xfId="327"/>
    <cellStyle name="_Currency_Project Intrepid Precedents_v01" xfId="328"/>
    <cellStyle name="_Currency_Project Silk 290307" xfId="329"/>
    <cellStyle name="_Currency_Project Silk 290307_Wednesday_Business_Model_v5" xfId="330"/>
    <cellStyle name="_CurrencySpace" xfId="331"/>
    <cellStyle name="_CurrencySpace_Project Intrepid Precedents_v01" xfId="332"/>
    <cellStyle name="_CUST_CHARGES_QTLY RECOV_072905_v2" xfId="333"/>
    <cellStyle name="_Dec 2005 vs Jan 2006 Global MIPS and DASD Volumes 02-16" xfId="334"/>
    <cellStyle name="_Dec Usage - 11 Jan 06" xfId="335"/>
    <cellStyle name="_Dec Usage - 11 Jan 06_2010 Final Rates vs  2009_Aug06 - Japan" xfId="336"/>
    <cellStyle name="_Dec Usage - 13 Jan 2005" xfId="337"/>
    <cellStyle name="_Dec Usage - 13 Jan 2005_2010 Final Rates vs  2009_Aug06 - Japan" xfId="338"/>
    <cellStyle name="_Dec Usage - 13 Jan 2005v1" xfId="339"/>
    <cellStyle name="_Dec Usage - 13 Jan 2005v1_2010 Final Rates vs  2009_Aug06 - Japan" xfId="340"/>
    <cellStyle name="_Dec YTD DTI Actuals" xfId="341"/>
    <cellStyle name="_Dec04 Actuals" xfId="342"/>
    <cellStyle name="_Dep Forecast 1_20_051" xfId="343"/>
    <cellStyle name="_DTI Console UC 2005 Alloc 13 OCtv1 INDIA" xfId="344"/>
    <cellStyle name="_DTI Console UC 2005 Alloc 13 OCtv1 INDIA_2010 Final Rates vs  2009_Aug06 - Japan" xfId="345"/>
    <cellStyle name="_DTI PLAN 2005 AFTER TASK FROM APAC REGION" xfId="346"/>
    <cellStyle name="_DTI PLAN 2005 AFTER TASK FROM APAC REGION_2010 Final Rates vs  2009_Aug06 - Japan" xfId="347"/>
    <cellStyle name="_DTI Split Plan 05 by Product  GAD  OUC" xfId="348"/>
    <cellStyle name="_EBS-M-financials-081204" xfId="349"/>
    <cellStyle name="_Economic Assumptions_Jan 16" xfId="350"/>
    <cellStyle name="_EMEA 2008 Volumes  Rates - Leif" xfId="351"/>
    <cellStyle name="_EMEA 2008 Volumes  Rates - Leif_2008 vs  2009 Global Rates Consolidation - 02-12-2009-(Herz)" xfId="352"/>
    <cellStyle name="_EMEA GTS" xfId="353"/>
    <cellStyle name="_EMEA GTS_2010 Final Rates vs  2009_Aug06 - Japan" xfId="354"/>
    <cellStyle name="_EMEAMonthlyReportingSchedule FYF05AAAv2b" xfId="355"/>
    <cellStyle name="_Essbase Plan 04" xfId="356"/>
    <cellStyle name="_essbase-0402" xfId="357"/>
    <cellStyle name="_Essbase-2004Plan-Dec18" xfId="358"/>
    <cellStyle name="_Essbase-2004Plan-Dec18_2010 Final Rates vs  2009_Aug06 - Japan" xfId="359"/>
    <cellStyle name="_Euro" xfId="360"/>
    <cellStyle name="_Euro_Aries CIB Model_v16" xfId="361"/>
    <cellStyle name="_Euro_Aries CIB Model_v28" xfId="362"/>
    <cellStyle name="_Euro_Aries CIB Model_v301" xfId="363"/>
    <cellStyle name="_Euro_Aries Model  - GCG Reconnected (Expenses and other outstanding) v10" xfId="364"/>
    <cellStyle name="_Euro_Aries Model 101906" xfId="365"/>
    <cellStyle name="_Euro_Aries Model 101906 - CIB Return" xfId="366"/>
    <cellStyle name="_Euro_Aries Model Draft 15 PrimSh v9 - Marco's Model - NPv5" xfId="367"/>
    <cellStyle name="_Euro_borrowing" xfId="368"/>
    <cellStyle name="_Euro_CIB Return - Update" xfId="369"/>
    <cellStyle name="_Euro_CTC V4 DCF" xfId="370"/>
    <cellStyle name="_Euro_GCIB Model (New)" xfId="371"/>
    <cellStyle name="_Euro_GCIB Model (New)_081203" xfId="372"/>
    <cellStyle name="_Euro_GCIB Model (New)4" xfId="373"/>
    <cellStyle name="_Euro_GCIB Model (New)5" xfId="374"/>
    <cellStyle name="_Euro_GCIB_Model_041103" xfId="375"/>
    <cellStyle name="_Euro_GCIB_Model_311003.xls" xfId="376"/>
    <cellStyle name="_Euro_Goldfish Model V14 (US$2Bn - Opt. 1) 051024" xfId="377"/>
    <cellStyle name="_Euro_Goldfish Model V14 (US$2Bn - Opt. 1) 051024_OLd M&amp;A template" xfId="378"/>
    <cellStyle name="_Euro_Goldfish Model V14 (US$2Bn - Opt. 1) 051024_OLd M&amp;A template_Aries CIB Model (5)" xfId="379"/>
    <cellStyle name="_Euro_Goldfish Model V14 (US$2Bn - Opt. 1) 051024_OLd M&amp;A template_Aries CIB Model (5)_Aries Oct 4 - Model v2" xfId="380"/>
    <cellStyle name="_Euro_Goldfish Model V14 (US$2Bn - Opt. 1) 051024_OLd M&amp;A template_Aries CIB Model_v16" xfId="381"/>
    <cellStyle name="_Euro_Goldfish Model V14 (US$2Bn - Opt. 1) 051024_OLd M&amp;A template_Aries CIB Model_v28" xfId="382"/>
    <cellStyle name="_Euro_Goldfish Model V14 (US$2Bn - Opt. 1) 051024_OLd M&amp;A template_Aries CIB Model_v301" xfId="383"/>
    <cellStyle name="_Euro_Goldfish Model V14 (US$2Bn - Opt. 1) 051024_OLd M&amp;A template_Aries Model  - GCG Reconnected (Expenses and other outstanding) v10" xfId="384"/>
    <cellStyle name="_Euro_Goldfish Model V14 (US$2Bn - Opt. 1) 051024_OLd M&amp;A template_Aries Model 101906" xfId="385"/>
    <cellStyle name="_Euro_Goldfish Model V14 (US$2Bn - Opt. 1) 051024_OLd M&amp;A template_Aries Model Draft 15 PrimSh v6 (NPv4)" xfId="386"/>
    <cellStyle name="_Euro_Goldfish Model V14 (US$2Bn - Opt. 1) 051024_OLd M&amp;A template_Aries Model Draft 15 PrimSh v9 - Marco's Model - NPv5" xfId="387"/>
    <cellStyle name="_Euro_Goldfish Model V14 (US$2Bn - Opt. 1) 051024_OLd M&amp;A template_CIB Return - Update" xfId="388"/>
    <cellStyle name="_Euro_Goldfish Model V14 (US$2Bn - Opt. 1) 051024_OLd M&amp;A template_OASIS_BM_060807 v6" xfId="389"/>
    <cellStyle name="_Euro_Goldfish Model V14 (US$2Bn - Opt. 1) 051110 (M&amp;A Committee) - (6% CAR) NEW PGAAP FINAL" xfId="390"/>
    <cellStyle name="_Euro_Goldfish Model V14 (US$2Bn - Opt. 1) 051110 (M&amp;A Committee) - (6% CAR) NEW PGAAP FINAL_OLd M&amp;A template" xfId="391"/>
    <cellStyle name="_Euro_Goldfish Model V14 (US$2Bn - Opt. 1) 051110 (M&amp;A Committee) - (6% CAR) NEW PGAAP FINAL_OLd M&amp;A template_Aries CIB Model (5)" xfId="392"/>
    <cellStyle name="_Euro_Goldfish Model V14 (US$2Bn - Opt. 1) 051110 (M&amp;A Committee) - (6% CAR) NEW PGAAP FINAL_OLd M&amp;A template_Aries CIB Model (5)_Aries Oct 4 - Model v2" xfId="393"/>
    <cellStyle name="_Euro_Goldfish Model V14 (US$2Bn - Opt. 1) 051110 (M&amp;A Committee) - (6% CAR) NEW PGAAP FINAL_OLd M&amp;A template_Aries CIB Model_v16" xfId="394"/>
    <cellStyle name="_Euro_Goldfish Model V14 (US$2Bn - Opt. 1) 051110 (M&amp;A Committee) - (6% CAR) NEW PGAAP FINAL_OLd M&amp;A template_Aries CIB Model_v28" xfId="395"/>
    <cellStyle name="_Euro_Goldfish Model V14 (US$2Bn - Opt. 1) 051110 (M&amp;A Committee) - (6% CAR) NEW PGAAP FINAL_OLd M&amp;A template_Aries CIB Model_v301" xfId="396"/>
    <cellStyle name="_Euro_Goldfish Model V14 (US$2Bn - Opt. 1) 051110 (M&amp;A Committee) - (6% CAR) NEW PGAAP FINAL_OLd M&amp;A template_Aries Model  - GCG Reconnected (Expenses and other outstanding) v10" xfId="397"/>
    <cellStyle name="_Euro_Goldfish Model V14 (US$2Bn - Opt. 1) 051110 (M&amp;A Committee) - (6% CAR) NEW PGAAP FINAL_OLd M&amp;A template_Aries Model 101906" xfId="398"/>
    <cellStyle name="_Euro_Goldfish Model V14 (US$2Bn - Opt. 1) 051110 (M&amp;A Committee) - (6% CAR) NEW PGAAP FINAL_OLd M&amp;A template_Aries Model Draft 15 PrimSh v6 (NPv4)" xfId="399"/>
    <cellStyle name="_Euro_Goldfish Model V14 (US$2Bn - Opt. 1) 051110 (M&amp;A Committee) - (6% CAR) NEW PGAAP FINAL_OLd M&amp;A template_Aries Model Draft 15 PrimSh v9 - Marco's Model - NPv5" xfId="400"/>
    <cellStyle name="_Euro_Goldfish Model V14 (US$2Bn - Opt. 1) 051110 (M&amp;A Committee) - (6% CAR) NEW PGAAP FINAL_OLd M&amp;A template_CIB Return - Update" xfId="401"/>
    <cellStyle name="_Euro_Goldfish Model V14 (US$2Bn - Opt. 1) 051110 (M&amp;A Committee) - (6% CAR) NEW PGAAP FINAL_OLd M&amp;A template_OASIS_BM_060807 v6" xfId="402"/>
    <cellStyle name="_Euro_KoramPro-forma_161003.v1" xfId="403"/>
    <cellStyle name="_Euro_KoramPro-forma_281003.v1" xfId="404"/>
    <cellStyle name="_Euro_Liabilities_template(consumer)" xfId="405"/>
    <cellStyle name="_Euro_Liabilities_template(consumer)1" xfId="406"/>
    <cellStyle name="_Euro_Mercury Financial Model v9" xfId="407"/>
    <cellStyle name="_Euro_Park Lane MOB Model V9 1" xfId="408"/>
    <cellStyle name="_Euro_Project Florence (100105) V63 (V9)" xfId="409"/>
    <cellStyle name="_Euro_Project Intrepid Precedents_v01" xfId="410"/>
    <cellStyle name="_Euro_Shiraz Credit Card Model v3" xfId="411"/>
    <cellStyle name="_Euro_Soulmate GCIB Model_101203_v1" xfId="412"/>
    <cellStyle name="_Euro_Sparrow 020807 Internal projections" xfId="413"/>
    <cellStyle name="_Euro_SPDB Investment (updated Jan22-07)" xfId="414"/>
    <cellStyle name="_Expenses Target 2009" xfId="415"/>
    <cellStyle name="_Explorer 10.2006 7pm" xfId="416"/>
    <cellStyle name="_Explorer MA Model 10 21 06 v 4.1 (M&amp;A Committee)" xfId="417"/>
    <cellStyle name="_Feb 04 - China ICCC - Arthur Lo" xfId="418"/>
    <cellStyle name="_Feb 04 - China ICCC - Arthur Lo_2010 Final Rates vs  2009_Aug06 - Japan" xfId="419"/>
    <cellStyle name="_Feb Usage - 13 Mar 06" xfId="420"/>
    <cellStyle name="_Feb Usage - 13 Mar 06_2010 Final Rates vs  2009_Aug06 - Japan" xfId="421"/>
    <cellStyle name="_Feb Usage - 9 Mar 2005" xfId="422"/>
    <cellStyle name="_Feb Usage - 9 Mar 2005_2010 Final Rates vs  2009_Aug06 - Japan" xfId="423"/>
    <cellStyle name="_financial template-new 2nd DC build-v2.5" xfId="424"/>
    <cellStyle name="_for workings `2004P v6a - ALLOCATIONS BY PLATFORM - ex HK COB v17~Jan Cut 10 Feb~Actual &amp; Volume" xfId="425"/>
    <cellStyle name="_FYF7 Asia Region_Adjusted_Aug15v1" xfId="426"/>
    <cellStyle name="_FYF7 Asia Region_Adjusted_Aug15v1_2010 Final Rates vs  2009_Aug06 - Japan" xfId="427"/>
    <cellStyle name="_GAG May Charges Ver1" xfId="428"/>
    <cellStyle name="_Gama_69" xfId="429"/>
    <cellStyle name="_GCG Asia Volume - 2004 Act  2005 Fcst" xfId="430"/>
    <cellStyle name="_GCG Non MPR July 2006" xfId="431"/>
    <cellStyle name="_GCG Non MPR July 2006_2010 Final Rates vs  2009_Aug06 - Japan" xfId="432"/>
    <cellStyle name="_GCIB Indonesia - Michael Setiawan2" xfId="433"/>
    <cellStyle name="_GCIB Indonesia - Michael Setiawan2_2010 Final Rates vs  2009_Aug06 - Japan" xfId="434"/>
    <cellStyle name="_GCIB Indonesia NSR 2003-181 ~ Michael Setiawan" xfId="435"/>
    <cellStyle name="_GCIB Indonesia NSR 2003-181 ~ Michael Setiawan_2010 Final Rates vs  2009_Aug06 - Japan" xfId="436"/>
    <cellStyle name="_GCIB Indonesia1" xfId="437"/>
    <cellStyle name="_GCIB Indonesia1_2010 Final Rates vs  2009_Aug06 - Japan" xfId="438"/>
    <cellStyle name="_Global stress scenarios - quarterly international base 0908" xfId="439"/>
    <cellStyle name="_Goodwill" xfId="440"/>
    <cellStyle name="_Graphs" xfId="441"/>
    <cellStyle name="_Graphs By Project spend" xfId="442"/>
    <cellStyle name="_Heading" xfId="443"/>
    <cellStyle name="_Heading_Bisys valuation v34 C" xfId="444"/>
    <cellStyle name="_Heading_Book2" xfId="445"/>
    <cellStyle name="_Heading_prestemp" xfId="446"/>
    <cellStyle name="_Heading_prestemp_Sparrow 020807 Internal projections" xfId="447"/>
    <cellStyle name="_Heading_Project Intrepid Precedents_v01" xfId="448"/>
    <cellStyle name="_Highlight" xfId="449"/>
    <cellStyle name="_Highlight_Project Intrepid Precedents_v01" xfId="450"/>
    <cellStyle name="_HLVE FTE Format" xfId="451"/>
    <cellStyle name="_Hoja1" xfId="452"/>
    <cellStyle name="_HP Care Pack OCT 2003_ltr" xfId="1894"/>
    <cellStyle name="_HP PF Jan-Apr 04 catch-up workings" xfId="453"/>
    <cellStyle name="_IBM p5 Final 2006 Rates" xfId="454"/>
    <cellStyle name="_IBO Server Purchase 2006 and 2007" xfId="1895"/>
    <cellStyle name="_IBO Software Purchase 2006 and 2007" xfId="1896"/>
    <cellStyle name="_Impact to Citigroup B v27" xfId="455"/>
    <cellStyle name="_Impact to Citigroup B v27_M&amp;A Page" xfId="456"/>
    <cellStyle name="_IN-CTY Charges V2" xfId="457"/>
    <cellStyle name="_IN-CTY Charges V2_2010 Final Rates vs  2009_Aug06 - Japan" xfId="458"/>
    <cellStyle name="_india GCB % alloc" xfId="459"/>
    <cellStyle name="_india GCB % alloc_2010 Final Rates vs  2009_Aug06 - Japan" xfId="460"/>
    <cellStyle name="_India Sub Continent Split Apps" xfId="461"/>
    <cellStyle name="_INDO 2005 DTI Plan GAG GCIB Asia" xfId="462"/>
    <cellStyle name="_INDO 2005 DTI Plan GAG GCIB Asia_2010 Final Rates vs  2009_Aug06 - Japan" xfId="463"/>
    <cellStyle name="_INDO GCIB ASIA GAG PLAN 2005" xfId="464"/>
    <cellStyle name="_INDO GCIB ASIA GAG PLAN 2005_2010 Final Rates vs  2009_Aug06 - Japan" xfId="465"/>
    <cellStyle name="_Intangibles Amortization Curve" xfId="466"/>
    <cellStyle name="_Jan  Projected Depr" xfId="467"/>
    <cellStyle name="_Jan Usage - 10 Feb 06" xfId="468"/>
    <cellStyle name="_Jan Usage - 10 Feb 06_2010 Final Rates vs  2009_Aug06 - Japan" xfId="469"/>
    <cellStyle name="_Jan Usage - 7 Feb 2005" xfId="470"/>
    <cellStyle name="_Jan Usage - 7 Feb 2005_2010 Final Rates vs  2009_Aug06 - Japan" xfId="471"/>
    <cellStyle name="_Japan Consumer Finance" xfId="472"/>
    <cellStyle name="_Jul Usage - 15 August 2005" xfId="473"/>
    <cellStyle name="_Jul Usage - 15 August 2005_2010 Final Rates vs  2009_Aug06 - Japan" xfId="474"/>
    <cellStyle name="_JUN FLASH vs JUN BUDGET" xfId="475"/>
    <cellStyle name="_Jun Usage - 12 July 2005" xfId="476"/>
    <cellStyle name="_Jun Usage - 12 July 2005_2010 Final Rates vs  2009_Aug06 - Japan" xfId="477"/>
    <cellStyle name="_KorAm Program Financials - 080504" xfId="478"/>
    <cellStyle name="_Koram-Billing- May05-sin" xfId="479"/>
    <cellStyle name="_L3 AP5 - financial template - 081304" xfId="480"/>
    <cellStyle name="_L3 AP6 - financial template - 081304" xfId="481"/>
    <cellStyle name="_Lark MA v1" xfId="482"/>
    <cellStyle name="_Lark MA v1_Project Silk 290307" xfId="483"/>
    <cellStyle name="_Lark MA v4" xfId="484"/>
    <cellStyle name="_Lark MA v4_Project Silk 290307" xfId="485"/>
    <cellStyle name="_Lark PCCM_merger model_v511" xfId="486"/>
    <cellStyle name="_Lark PCCM_merger model_v511_M&amp;A Page" xfId="487"/>
    <cellStyle name="_Lark PCCM_merger model_v53" xfId="488"/>
    <cellStyle name="_Lark PCCM_merger model_v53_M&amp;A Page" xfId="489"/>
    <cellStyle name="_Lark PCCM_merger model_v54" xfId="490"/>
    <cellStyle name="_Lark PCCM_merger model_v54_M&amp;A Page" xfId="491"/>
    <cellStyle name="_Lark PCCM_merger model_v64" xfId="492"/>
    <cellStyle name="_Lark PCCM_merger model_v64_M&amp;A Page" xfId="493"/>
    <cellStyle name="_Lark Synergy Model" xfId="494"/>
    <cellStyle name="_Lark Synergy Model_M&amp;A Page" xfId="495"/>
    <cellStyle name="_LATAM GCG - Inputs and Assumptions" xfId="496"/>
    <cellStyle name="_Leona input @ 31Mar ~ 4FinDeck-mar29" xfId="497"/>
    <cellStyle name="_Leona input @ 31Mar ~ 4FinDeck-mar29_2010 Final Rates vs  2009_Aug06 - Japan" xfId="498"/>
    <cellStyle name="_Mar Usage - 11 Apr 2005" xfId="499"/>
    <cellStyle name="_Mar Usage - 11 Apr 2005_2010 Final Rates vs  2009_Aug06 - Japan" xfId="500"/>
    <cellStyle name="_Mar2004 APPC &amp; DTI Reclass" xfId="501"/>
    <cellStyle name="_Mar2004 APPC &amp; DTI Reclass_2010 Final Rates vs  2009_Aug06 - Japan" xfId="502"/>
    <cellStyle name="_Mark details" xfId="503"/>
    <cellStyle name="_May Usage - 13 June 2005" xfId="504"/>
    <cellStyle name="_May Usage - 13 June 2005_2010 Final Rates vs  2009_Aug06 - Japan" xfId="505"/>
    <cellStyle name="_MEP-MODEL Branch (10 Branches) - v.10 - Jan'07b" xfId="506"/>
    <cellStyle name="_MERCURY ESTIMATE CTI_Voice_Wintel_network_WISI(v1F)" xfId="507"/>
    <cellStyle name="_Mercury Financial Model v9" xfId="508"/>
    <cellStyle name="_Mitchell Director Review FYF01" xfId="509"/>
    <cellStyle name="_Monthly Capital Report - DiSanto - 102604" xfId="510"/>
    <cellStyle name="_Monthly Report for Walt" xfId="511"/>
    <cellStyle name="_MR-EOL-financials-081204" xfId="512"/>
    <cellStyle name="_Multiple" xfId="513"/>
    <cellStyle name="_Multiple_Project Intrepid M&amp;A v1.0" xfId="514"/>
    <cellStyle name="_Multiple_Project Intrepid Model v7.3" xfId="515"/>
    <cellStyle name="_Multiple_Project Intrepid Precedents_v01" xfId="516"/>
    <cellStyle name="_Multiple_Project Intrepid_v022" xfId="517"/>
    <cellStyle name="_MultipleSpace" xfId="518"/>
    <cellStyle name="_MultipleSpace_Project Intrepid M&amp;A v1.0" xfId="519"/>
    <cellStyle name="_MultipleSpace_Project Intrepid Model v7.3" xfId="520"/>
    <cellStyle name="_MultipleSpace_Project Intrepid Precedents_v01" xfId="521"/>
    <cellStyle name="_MultipleSpace_Project Intrepid_v022" xfId="522"/>
    <cellStyle name="_NA Act-Fcst 02-06" xfId="523"/>
    <cellStyle name="_NAIT Close Calendar_Deliverables_Templates1" xfId="524"/>
    <cellStyle name="_New_Results_Template_NA REGION" xfId="525"/>
    <cellStyle name="_NextGen" xfId="526"/>
    <cellStyle name="_Nov Usage - 9 Dec 05" xfId="527"/>
    <cellStyle name="_Nov Usage - 9 Dec 05_2010 Final Rates vs  2009_Aug06 - Japan" xfId="528"/>
    <cellStyle name="_Nov04 FCST_Volume_8Dec04" xfId="529"/>
    <cellStyle name="_NSR 2004-05" xfId="530"/>
    <cellStyle name="_NSR 2004-05_2010 Final Rates vs  2009_Aug06 - Japan" xfId="531"/>
    <cellStyle name="_NSR 2004-06" xfId="532"/>
    <cellStyle name="_NSR 2004-06_2010 Final Rates vs  2009_Aug06 - Japan" xfId="533"/>
    <cellStyle name="_NSR 2004-08" xfId="534"/>
    <cellStyle name="_NSR 2004-08_2010 Final Rates vs  2009_Aug06 - Japan" xfId="535"/>
    <cellStyle name="_Oct Usage - 11 Nov 05" xfId="536"/>
    <cellStyle name="_Oct Usage - 11 Nov 05_2010 Final Rates vs  2009_Aug06 - Japan" xfId="537"/>
    <cellStyle name="_Oct04 FCST_Volume_include NSRs &amp; RCOB_12Nov04" xfId="538"/>
    <cellStyle name="_Oct04 FCST_Volume_include NSRs &amp; RCOB_18Nov04 (less NSRs in Plan but not chgout)" xfId="539"/>
    <cellStyle name="_OEX Rational for SMRT minibranch CEP Dec'06" xfId="540"/>
    <cellStyle name="_OEX Rational for SMRT minibranch CEP Dec'06 2" xfId="541"/>
    <cellStyle name="_O's &amp; R's Walkdown Template -CLG" xfId="542"/>
    <cellStyle name="_OT Summary" xfId="543"/>
    <cellStyle name="_Park Lane MOB Model V9 1" xfId="544"/>
    <cellStyle name="_Percent" xfId="545"/>
    <cellStyle name="_Percent_Project Intrepid M&amp;A v1.0" xfId="546"/>
    <cellStyle name="_Percent_Project Intrepid Model v7.3" xfId="547"/>
    <cellStyle name="_Percent_Project Intrepid Precedents_v01" xfId="548"/>
    <cellStyle name="_Percent_Project Intrepid_v022" xfId="549"/>
    <cellStyle name="_PercentSpace" xfId="550"/>
    <cellStyle name="_PercentSpace_Project Intrepid M&amp;A v1.0" xfId="551"/>
    <cellStyle name="_PercentSpace_Project Intrepid Model v7.3" xfId="552"/>
    <cellStyle name="_Project Arrow TI Financial Analysis final-gks v1.2" xfId="553"/>
    <cellStyle name="_Project Intrepid M&amp;A v1.0" xfId="554"/>
    <cellStyle name="_Project Intrepid Model v7.3" xfId="555"/>
    <cellStyle name="_Project Silk 290307" xfId="556"/>
    <cellStyle name="_RACHEL Fcst 03-06" xfId="557"/>
    <cellStyle name="_Recov_4Q04_Pkg1" xfId="558"/>
    <cellStyle name="_Recov_4Q04_Pkg1_DC RecoveryJPN_031105" xfId="559"/>
    <cellStyle name="_Recov_4Q04_Pkg1_RecovSched JanFeb05 Act vs Plan" xfId="560"/>
    <cellStyle name="_Recov_4Q04_Pkg1_RecovSched JanFeb05 Act vs Plan (JPN)" xfId="561"/>
    <cellStyle name="_Recov_4Q04_Pkg1_RecovSched JanFeb05 Act vs Plan_TW" xfId="562"/>
    <cellStyle name="_Reengineering Template" xfId="563"/>
    <cellStyle name="_REVISED APPC 2004 JUNE FORECAST" xfId="564"/>
    <cellStyle name="_Revised APPC 2005 RCOB Chargeout" xfId="565"/>
    <cellStyle name="_Revised APPC 2005 RCOB Chargeout_2010 Final Rates vs  2009_Aug06 - Japan" xfId="566"/>
    <cellStyle name="_Revised Jan04 ~ GCB China ICCC - Arthur Lo" xfId="567"/>
    <cellStyle name="_Revised Jan04 ~ GCB China ICCC - Arthur Lo_2010 Final Rates vs  2009_Aug06 - Japan" xfId="568"/>
    <cellStyle name="_SameTime applc_jan to jun04 alloc" xfId="569"/>
    <cellStyle name="_Server Cost Components_9-9-05" xfId="570"/>
    <cellStyle name="_Server Cost Components_9-9-05_Book1" xfId="571"/>
    <cellStyle name="_Server Cost Components_9-9-05_CFJ bill - Aug06(Rev)" xfId="572"/>
    <cellStyle name="_Server Cost Components_9-9-05_CFJ-Billing2006" xfId="573"/>
    <cellStyle name="_Server Cost Components_9-9-05_Jan-Jun06InvoiceForGlobalCharge" xfId="574"/>
    <cellStyle name="_Server Cost Components_9-9-05_Rate Sheet v10 - 0614 - wintel update" xfId="575"/>
    <cellStyle name="_Server Cost Components_9-9-05_Rate Sheet v18 a - 0619" xfId="576"/>
    <cellStyle name="_Server Cost Components_9-9-05_Rate Sheet v20 - 0620" xfId="577"/>
    <cellStyle name="_Server Cost Components_9-9-05_Rate Sheet v21 - 0620" xfId="578"/>
    <cellStyle name="_Server Cost Components_9-9-05_Rate Sheet v22 - 0620" xfId="579"/>
    <cellStyle name="_Server Cost Components_9-9-05_Rate Sheet v23 - 0621" xfId="580"/>
    <cellStyle name="_Server Cost Components_9-9-05_Rate Sheet v26 - 0621 - ed revision" xfId="581"/>
    <cellStyle name="_Server Cost Components_9-9-05_Rate Sheet v27 - 0622" xfId="582"/>
    <cellStyle name="_Server Cost Components_9-9-05_Rate Sheet v29 - 0623 for billing" xfId="583"/>
    <cellStyle name="_Server Cost Components_9-9-05_Rate Sheet v30 - 0623" xfId="584"/>
    <cellStyle name="_Server Cost Components_9-9-05_Rate Sheet v33 - 0725" xfId="585"/>
    <cellStyle name="_Server Cost Components_9-9-05_Rate Sheet v34 - 0817" xfId="586"/>
    <cellStyle name="_Server Cost Components_9-9-05_Rate Sheet v35 - 0823 - YTD adjust" xfId="587"/>
    <cellStyle name="_Server Cost Components_9-9-05_Rate Sheet v36 - 0831 - b" xfId="588"/>
    <cellStyle name="_Server Cost Components_9-9-05_Rate Sheet v36b - 0831" xfId="589"/>
    <cellStyle name="_Server Cost Components_9-9-05_Rate Sheet v39 - 1019" xfId="590"/>
    <cellStyle name="_Server Cost Components_9-9-05_Rate Sheet v40 - 1114" xfId="591"/>
    <cellStyle name="_Sheet1" xfId="592"/>
    <cellStyle name="_Sheet3" xfId="593"/>
    <cellStyle name="_SITE Debt" xfId="594"/>
    <cellStyle name="_Soft Cap Deferral Support 0505" xfId="595"/>
    <cellStyle name="_Software Cap Comparisons 0405" xfId="596"/>
    <cellStyle name="_SubHeading" xfId="597"/>
    <cellStyle name="_SubHeading_Bisys valuation v34 C" xfId="598"/>
    <cellStyle name="_SubHeading_Book2" xfId="599"/>
    <cellStyle name="_SubHeading_prestemp" xfId="600"/>
    <cellStyle name="_SubHeading_prestemp_Sparrow 020807 Internal projections" xfId="601"/>
    <cellStyle name="_SubHeading_Project Intrepid Precedents_v01" xfId="602"/>
    <cellStyle name="_Summary Comps - Olympus 10.16.05 (AW version) v2" xfId="603"/>
    <cellStyle name="_SUN Model 092606 9am" xfId="604"/>
    <cellStyle name="_Table" xfId="605"/>
    <cellStyle name="_Table_Bisys valuation v34 C" xfId="606"/>
    <cellStyle name="_Table_Book2" xfId="607"/>
    <cellStyle name="_Table_Project Intrepid M&amp;A v1.0" xfId="608"/>
    <cellStyle name="_Table_Project Intrepid Model v7.3" xfId="609"/>
    <cellStyle name="_Table_Project Intrepid Precedents_v01" xfId="610"/>
    <cellStyle name="_Table_Project Intrepid_v022" xfId="611"/>
    <cellStyle name="_TableHead" xfId="612"/>
    <cellStyle name="_TableHead_Bisys valuation v34 C" xfId="613"/>
    <cellStyle name="_TableHead_Book2" xfId="614"/>
    <cellStyle name="_TableHead_Project Intrepid Precedents_v01" xfId="615"/>
    <cellStyle name="_TableRowHead" xfId="616"/>
    <cellStyle name="_TableRowHead_Bisys valuation v34 C" xfId="617"/>
    <cellStyle name="_TableRowHead_Book2" xfId="618"/>
    <cellStyle name="_TableRowHead_Project Intrepid Precedents_v01" xfId="619"/>
    <cellStyle name="_TableSuperHead" xfId="620"/>
    <cellStyle name="_TableSuperHead_Bisys valuation v34 C" xfId="621"/>
    <cellStyle name="_TableSuperHead_Book2" xfId="622"/>
    <cellStyle name="_TableSuperHead_Project Intrepid M&amp;A v1.0" xfId="623"/>
    <cellStyle name="_TableSuperHead_Project Intrepid Model v7.3" xfId="624"/>
    <cellStyle name="_TableSuperHead_Project Intrepid Precedents_v01" xfId="625"/>
    <cellStyle name="_TableSuperHead_Project Intrepid_v022" xfId="626"/>
    <cellStyle name="_Targets_sent" xfId="627"/>
    <cellStyle name="_TI Data for Walt Review - 04.04.05" xfId="628"/>
    <cellStyle name="_TI Unit rates_05  06" xfId="629"/>
    <cellStyle name="_TI Unit rates_05  06_2010 Final Rates vs  2009_Aug06 - Japan" xfId="630"/>
    <cellStyle name="_Total Exp Br Brazil" xfId="631"/>
    <cellStyle name="_Trans rev" xfId="632"/>
    <cellStyle name="_Trans rev_Sparrow 020807 Internal projections" xfId="633"/>
    <cellStyle name="_Unit Cost" xfId="634"/>
    <cellStyle name="_US Consumer Investments - half year 08 options - GB rev" xfId="635"/>
    <cellStyle name="_Vacantes x cubrir (2007) (BAU) Marce Gonzalez010307" xfId="636"/>
    <cellStyle name="_Working Liquidity" xfId="637"/>
    <cellStyle name="¡E￠cE?￠®E¡Ec￠®¡×I¡E￠c￠®¡¿ui¡E￠c￠®¡¿¡E￠c¨I¡ⓒ￠®E¡Eci CIAI¡E￠c￠®¡¿￠®E¡EcU¡E￠cE¡E￠c¨I¡ⓒ¡E￠cIiA¡E￠c￠®¡¿I" xfId="638"/>
    <cellStyle name="£ BP" xfId="639"/>
    <cellStyle name="¤@¯ë_pldt" xfId="640"/>
    <cellStyle name="¥ JY" xfId="641"/>
    <cellStyle name="=C:\WINDOWS\SYSTEM32\COMMAND.COM" xfId="1897"/>
    <cellStyle name="=C:\WINNT\SYSTEM32\COMMAND.COM" xfId="642"/>
    <cellStyle name="=C:\WINNT\SYSTEM32\COMMAND.COM 2" xfId="1898"/>
    <cellStyle name="=C:\WINNT35\SYSTEM32\COMMAND.COM" xfId="643"/>
    <cellStyle name="¶W³sµ²" xfId="644"/>
    <cellStyle name="•\Ž¦Ï‚Ý‚ÌƒnƒCƒp[ƒŠƒ“ƒN" xfId="645"/>
    <cellStyle name="•W€_# of Branches '98 to '01" xfId="646"/>
    <cellStyle name="•W€_•‰Â" xfId="647"/>
    <cellStyle name="æØè [0.00]_PRODUCT DETAIL Q1" xfId="648"/>
    <cellStyle name="æØè_PRODUCT DETAIL Q1" xfId="649"/>
    <cellStyle name="ÊÝ [0.00]_PRODUCT DETAIL Q1" xfId="650"/>
    <cellStyle name="ÊÝ_PRODUCT DETAIL Q1" xfId="651"/>
    <cellStyle name="W?_BOOKSHIP" xfId="652"/>
    <cellStyle name="W_Â" xfId="653"/>
    <cellStyle name="0,0_x000d__x000a_NA_x000d__x000a_" xfId="654"/>
    <cellStyle name="01_Text ranged right" xfId="655"/>
    <cellStyle name="02_Dates" xfId="656"/>
    <cellStyle name="2" xfId="657"/>
    <cellStyle name="2_M&amp;A Page" xfId="658"/>
    <cellStyle name="20% - Accent1 2" xfId="659"/>
    <cellStyle name="20% - Accent1 3" xfId="660"/>
    <cellStyle name="20% - Accent1 4" xfId="661"/>
    <cellStyle name="20% - Accent1 5" xfId="662"/>
    <cellStyle name="20% - Accent2 2" xfId="663"/>
    <cellStyle name="20% - Accent2 3" xfId="664"/>
    <cellStyle name="20% - Accent2 4" xfId="665"/>
    <cellStyle name="20% - Accent2 5" xfId="666"/>
    <cellStyle name="20% - Accent3 2" xfId="667"/>
    <cellStyle name="20% - Accent3 3" xfId="668"/>
    <cellStyle name="20% - Accent3 4" xfId="669"/>
    <cellStyle name="20% - Accent3 5" xfId="670"/>
    <cellStyle name="20% - Accent4 2" xfId="671"/>
    <cellStyle name="20% - Accent4 3" xfId="672"/>
    <cellStyle name="20% - Accent4 4" xfId="673"/>
    <cellStyle name="20% - Accent4 5" xfId="674"/>
    <cellStyle name="20% - Accent5 2" xfId="675"/>
    <cellStyle name="20% - Accent5 3" xfId="676"/>
    <cellStyle name="20% - Accent5 4" xfId="677"/>
    <cellStyle name="20% - Accent5 5" xfId="678"/>
    <cellStyle name="20% - Accent6 2" xfId="679"/>
    <cellStyle name="20% - Accent6 3" xfId="680"/>
    <cellStyle name="20% - Accent6 4" xfId="681"/>
    <cellStyle name="20% - Accent6 5" xfId="682"/>
    <cellStyle name="20% - 강조색1" xfId="1899"/>
    <cellStyle name="20% - 강조색2" xfId="1900"/>
    <cellStyle name="20% - 강조색3" xfId="1901"/>
    <cellStyle name="20% - 강조색4" xfId="1902"/>
    <cellStyle name="20% - 강조색5" xfId="1903"/>
    <cellStyle name="20% - 강조색6" xfId="1904"/>
    <cellStyle name="³f¹ô [0]_ATT4" xfId="683"/>
    <cellStyle name="³f¹ô[0]_Template 12 - Bank (3)" xfId="684"/>
    <cellStyle name="³f¹ô_ATT4" xfId="685"/>
    <cellStyle name="40% - Accent1 2" xfId="686"/>
    <cellStyle name="40% - Accent1 3" xfId="687"/>
    <cellStyle name="40% - Accent1 4" xfId="688"/>
    <cellStyle name="40% - Accent1 5" xfId="689"/>
    <cellStyle name="40% - Accent2 2" xfId="690"/>
    <cellStyle name="40% - Accent2 3" xfId="691"/>
    <cellStyle name="40% - Accent2 4" xfId="692"/>
    <cellStyle name="40% - Accent2 5" xfId="693"/>
    <cellStyle name="40% - Accent3 2" xfId="694"/>
    <cellStyle name="40% - Accent3 3" xfId="695"/>
    <cellStyle name="40% - Accent3 4" xfId="696"/>
    <cellStyle name="40% - Accent3 5" xfId="697"/>
    <cellStyle name="40% - Accent4 2" xfId="698"/>
    <cellStyle name="40% - Accent4 3" xfId="699"/>
    <cellStyle name="40% - Accent4 4" xfId="700"/>
    <cellStyle name="40% - Accent4 5" xfId="701"/>
    <cellStyle name="40% - Accent5 2" xfId="702"/>
    <cellStyle name="40% - Accent5 3" xfId="703"/>
    <cellStyle name="40% - Accent5 4" xfId="704"/>
    <cellStyle name="40% - Accent5 5" xfId="705"/>
    <cellStyle name="40% - Accent6 2" xfId="706"/>
    <cellStyle name="40% - Accent6 3" xfId="707"/>
    <cellStyle name="40% - Accent6 4" xfId="708"/>
    <cellStyle name="40% - Accent6 5" xfId="709"/>
    <cellStyle name="40% - 강조색1" xfId="1905"/>
    <cellStyle name="40% - 강조색2" xfId="1906"/>
    <cellStyle name="40% - 강조색3" xfId="1907"/>
    <cellStyle name="40% - 강조색4" xfId="1908"/>
    <cellStyle name="40% - 강조색5" xfId="1909"/>
    <cellStyle name="40% - 강조색6" xfId="1910"/>
    <cellStyle name="60% - Accent1 2" xfId="710"/>
    <cellStyle name="60% - Accent1 3" xfId="711"/>
    <cellStyle name="60% - Accent1 4" xfId="712"/>
    <cellStyle name="60% - Accent2 2" xfId="713"/>
    <cellStyle name="60% - Accent2 3" xfId="714"/>
    <cellStyle name="60% - Accent2 4" xfId="715"/>
    <cellStyle name="60% - Accent3 2" xfId="716"/>
    <cellStyle name="60% - Accent3 3" xfId="717"/>
    <cellStyle name="60% - Accent3 4" xfId="718"/>
    <cellStyle name="60% - Accent4 2" xfId="719"/>
    <cellStyle name="60% - Accent4 3" xfId="720"/>
    <cellStyle name="60% - Accent4 4" xfId="721"/>
    <cellStyle name="60% - Accent5 2" xfId="722"/>
    <cellStyle name="60% - Accent5 3" xfId="723"/>
    <cellStyle name="60% - Accent5 4" xfId="724"/>
    <cellStyle name="60% - Accent6 2" xfId="725"/>
    <cellStyle name="60% - Accent6 3" xfId="726"/>
    <cellStyle name="60% - Accent6 4" xfId="727"/>
    <cellStyle name="60% - 강조색1" xfId="1911"/>
    <cellStyle name="60% - 강조색2" xfId="1912"/>
    <cellStyle name="60% - 강조색3" xfId="1913"/>
    <cellStyle name="60% - 강조색4" xfId="1914"/>
    <cellStyle name="60% - 강조색5" xfId="1915"/>
    <cellStyle name="60% - 강조색6" xfId="1916"/>
    <cellStyle name="9999/99/99" xfId="728"/>
    <cellStyle name="A¡E￠cE￠®EcE?￠®E¡EcE¡E￠cEc¡E￠cE￠®Ec¡E￠cE?¡E￠cE￠®EcE?¡E￠cE￠®Ec￠®E¡Ec¡E￠c¡E?I¡E￠cE￠®EcE?E¡E￠cE￠®EcE?￠®E¡Ec¡E￠c￠®￠?I¡E￠cE￠®Ec¡E￠c￠®¡¿I¡E￠cE￠®EcE?EO [0]_laroux" xfId="729"/>
    <cellStyle name="A¡E￠cE￠®EcE?￠®E¡EcE¡E￠cEc¡E￠cE￠®Ec¡E￠cE?¡E￠cE￠®EcE?¡E￠cE￠®Ec￠®E¡Ec¡E￠c¡E?I¡E￠cE￠®EcE?E¡E￠cE￠®EcE?￠®E¡Ec¡E￠c￠®￠?I¡E￠cE￠®Ec¡E￠c￠®¡¿I¡E￠cE￠®EcE?EO_laroux" xfId="730"/>
    <cellStyle name="ac" xfId="731"/>
    <cellStyle name="Accent1 2" xfId="732"/>
    <cellStyle name="Accent1 3" xfId="733"/>
    <cellStyle name="Accent1 4" xfId="734"/>
    <cellStyle name="Accent2 2" xfId="735"/>
    <cellStyle name="Accent2 3" xfId="736"/>
    <cellStyle name="Accent2 4" xfId="737"/>
    <cellStyle name="Accent3 2" xfId="738"/>
    <cellStyle name="Accent3 3" xfId="739"/>
    <cellStyle name="Accent3 4" xfId="740"/>
    <cellStyle name="Accent4 2" xfId="741"/>
    <cellStyle name="Accent4 3" xfId="742"/>
    <cellStyle name="Accent4 4" xfId="743"/>
    <cellStyle name="Accent5 2" xfId="744"/>
    <cellStyle name="Accent5 3" xfId="745"/>
    <cellStyle name="Accent5 4" xfId="746"/>
    <cellStyle name="Accent6 2" xfId="747"/>
    <cellStyle name="Accent6 3" xfId="748"/>
    <cellStyle name="Accent6 4" xfId="749"/>
    <cellStyle name="actuals" xfId="750"/>
    <cellStyle name="ÅëÈ­ [0]_¸ÅÃâ" xfId="751"/>
    <cellStyle name="AeE­ [0]_¼OAI¿¹≫e" xfId="752"/>
    <cellStyle name="ÅëÈ­ [0]_FYF10-OLP" xfId="753"/>
    <cellStyle name="ÅëÈ­_¸ÅÃâ" xfId="754"/>
    <cellStyle name="AeE­_¼OAI¿¹≫e" xfId="755"/>
    <cellStyle name="ÅëÈ­_FYF10-OLP" xfId="756"/>
    <cellStyle name="AeE￠®E¡EcE¡E￠cEcER￠®E¡EcE¡E￠cEc¡E￠cE￠®Ec￠®E¡Ec￠®E?I [0]_laroux" xfId="757"/>
    <cellStyle name="AeE￠®E¡EcE¡E￠cEcER￠®E¡EcE¡E￠cEc¡E￠cE￠®Ec￠®E¡Ec￠®E?I_laroux" xfId="758"/>
    <cellStyle name="ÀH«áªº¶W³sµ²" xfId="759"/>
    <cellStyle name="args.style" xfId="760"/>
    <cellStyle name="assumption" xfId="761"/>
    <cellStyle name="ÄÞ¸¶ [0]_¸ÅÃâ" xfId="762"/>
    <cellStyle name="AÞ¸¶ [0]_¼OAI¿¹≫e" xfId="763"/>
    <cellStyle name="ÄÞ¸¶ [0]_FYF10-OLP" xfId="764"/>
    <cellStyle name="ÄÞ¸¶_¸ÅÃâ" xfId="765"/>
    <cellStyle name="AÞ¸¶_¼OAI¿¹≫e" xfId="766"/>
    <cellStyle name="ÄÞ¸¶_FYF10-OLP" xfId="767"/>
    <cellStyle name="auto" xfId="768"/>
    <cellStyle name="Background" xfId="769"/>
    <cellStyle name="Bad 2" xfId="770"/>
    <cellStyle name="Bad 3" xfId="771"/>
    <cellStyle name="Bad 4" xfId="772"/>
    <cellStyle name="banner" xfId="773"/>
    <cellStyle name="Black Text" xfId="774"/>
    <cellStyle name="Black Text (No Wrap)" xfId="775"/>
    <cellStyle name="Blue Text" xfId="776"/>
    <cellStyle name="Blue Text - Ariel 10" xfId="777"/>
    <cellStyle name="bluenodec" xfId="778"/>
    <cellStyle name="bluepercent" xfId="779"/>
    <cellStyle name="Body" xfId="780"/>
    <cellStyle name="BOLD TITLES" xfId="781"/>
    <cellStyle name="Bold/Border" xfId="782"/>
    <cellStyle name="Bol-Data" xfId="783"/>
    <cellStyle name="bolet" xfId="784"/>
    <cellStyle name="Border" xfId="785"/>
    <cellStyle name="Border Heavy" xfId="786"/>
    <cellStyle name="Border Thin" xfId="787"/>
    <cellStyle name="Border_M&amp;A Page" xfId="788"/>
    <cellStyle name="Bottom Edge" xfId="789"/>
    <cellStyle name="Brand Default" xfId="790"/>
    <cellStyle name="Bullet" xfId="791"/>
    <cellStyle name="Business Description" xfId="792"/>
    <cellStyle name="Buttons" xfId="793"/>
    <cellStyle name="bvshr$" xfId="794"/>
    <cellStyle name="c" xfId="795"/>
    <cellStyle name="c_HardInc " xfId="796"/>
    <cellStyle name="c_HardInc _Bonus Comparison Model 7-1-04v11" xfId="797"/>
    <cellStyle name="c_HardInc _ML_Nov_Flash_By Entity_2" xfId="798"/>
    <cellStyle name="c_HardInc _ML_Nov_Flash_By Entity_2_December Bonus Model" xfId="799"/>
    <cellStyle name="c_HardInc _ML_Nov_Flash_By Entity_2_December Bonus Model fay" xfId="800"/>
    <cellStyle name="c_HardInc _ML_Nov_Flash_By Entity_2_ML_Dec_Flash" xfId="801"/>
    <cellStyle name="c_HardInc _ML_Nov_Flash_By Entity_2_new bonus methodology to ed" xfId="802"/>
    <cellStyle name="c_HardInc _ML_Nov_Flash_By Entity_2_Nov BS accruals - bonus" xfId="803"/>
    <cellStyle name="c_SITE Debt" xfId="804"/>
    <cellStyle name="c_SITE Debt_Bonus Comparison Model 7-1-04v11" xfId="805"/>
    <cellStyle name="c_SITE Debt_ML_Nov_Flash_By Entity_2" xfId="806"/>
    <cellStyle name="c_SITE Debt_ML_Nov_Flash_By Entity_2_December Bonus Model" xfId="807"/>
    <cellStyle name="c_SITE Debt_ML_Nov_Flash_By Entity_2_December Bonus Model fay" xfId="808"/>
    <cellStyle name="c_SITE Debt_ML_Nov_Flash_By Entity_2_ML_Dec_Flash" xfId="809"/>
    <cellStyle name="c_SITE Debt_ML_Nov_Flash_By Entity_2_new bonus methodology to ed" xfId="810"/>
    <cellStyle name="c_SITE Debt_ML_Nov_Flash_By Entity_2_Nov BS accruals - bonus" xfId="811"/>
    <cellStyle name="c_Working Liquidity" xfId="812"/>
    <cellStyle name="c_Working Liquidity_Bonus Comparison Model 7-1-04v11" xfId="813"/>
    <cellStyle name="c_Working Liquidity_ML_Nov_Flash_By Entity_2" xfId="814"/>
    <cellStyle name="c_Working Liquidity_ML_Nov_Flash_By Entity_2_December Bonus Model" xfId="815"/>
    <cellStyle name="c_Working Liquidity_ML_Nov_Flash_By Entity_2_December Bonus Model fay" xfId="816"/>
    <cellStyle name="c_Working Liquidity_ML_Nov_Flash_By Entity_2_ML_Dec_Flash" xfId="817"/>
    <cellStyle name="c_Working Liquidity_ML_Nov_Flash_By Entity_2_new bonus methodology to ed" xfId="818"/>
    <cellStyle name="c_Working Liquidity_ML_Nov_Flash_By Entity_2_Nov BS accruals - bonus" xfId="819"/>
    <cellStyle name="C￠®E¡EcE¡E￠cEcERIA¡E￠cE￠®EcE?￠®E¡EcE¡E￠cEc¡E￠cE￠®Ec¡E￠cE?￠®E¡EcE¡E￠cEc¡E￠cE￠®Ec￠®E¡Ec￠®E?￠®E¡EcE¡E￠cEcI_laroux" xfId="820"/>
    <cellStyle name="Ç¥ÁØ_(Á¤º¸ºÎ¹®)¿ùº°ÀÎ¿ø°èÈ¹" xfId="821"/>
    <cellStyle name="C￥AØ_¿u°￡¿a¾aº¸°i" xfId="822"/>
    <cellStyle name="Ç¥ÁØ_FYF10-OLP" xfId="823"/>
    <cellStyle name="Cabecera 1" xfId="824"/>
    <cellStyle name="Cabecera 2" xfId="825"/>
    <cellStyle name="Calc Currency (0)" xfId="826"/>
    <cellStyle name="Calc Currency (0) 2" xfId="827"/>
    <cellStyle name="Calc Currency (0) 3" xfId="828"/>
    <cellStyle name="Calc Currency (0) 4" xfId="829"/>
    <cellStyle name="Calc Currency (0) 5" xfId="1917"/>
    <cellStyle name="Calc Currency (2)" xfId="830"/>
    <cellStyle name="Calc Currency (2) 2" xfId="831"/>
    <cellStyle name="Calc Currency (2) 3" xfId="832"/>
    <cellStyle name="Calc Currency (2) 4" xfId="833"/>
    <cellStyle name="Calc Percent (0)" xfId="834"/>
    <cellStyle name="Calc Percent (0) 2" xfId="835"/>
    <cellStyle name="Calc Percent (0) 3" xfId="836"/>
    <cellStyle name="Calc Percent (0) 4" xfId="837"/>
    <cellStyle name="Calc Percent (1)" xfId="838"/>
    <cellStyle name="Calc Percent (1) 2" xfId="839"/>
    <cellStyle name="Calc Percent (1) 3" xfId="840"/>
    <cellStyle name="Calc Percent (1) 4" xfId="841"/>
    <cellStyle name="Calc Percent (2)" xfId="842"/>
    <cellStyle name="Calc Percent (2) 2" xfId="843"/>
    <cellStyle name="Calc Percent (2) 3" xfId="844"/>
    <cellStyle name="Calc Percent (2) 4" xfId="845"/>
    <cellStyle name="Calc Units (0)" xfId="846"/>
    <cellStyle name="Calc Units (0) 2" xfId="847"/>
    <cellStyle name="Calc Units (0) 3" xfId="848"/>
    <cellStyle name="Calc Units (0) 4" xfId="849"/>
    <cellStyle name="Calc Units (1)" xfId="850"/>
    <cellStyle name="Calc Units (1) 2" xfId="851"/>
    <cellStyle name="Calc Units (1) 3" xfId="852"/>
    <cellStyle name="Calc Units (1) 4" xfId="853"/>
    <cellStyle name="Calc Units (2)" xfId="854"/>
    <cellStyle name="Calc Units (2) 2" xfId="855"/>
    <cellStyle name="Calc Units (2) 3" xfId="856"/>
    <cellStyle name="Calc Units (2) 4" xfId="857"/>
    <cellStyle name="Calculation 2" xfId="858"/>
    <cellStyle name="Calculation 3" xfId="859"/>
    <cellStyle name="Calculation 4" xfId="860"/>
    <cellStyle name="Cambiar to&amp;do" xfId="861"/>
    <cellStyle name="category" xfId="862"/>
    <cellStyle name="Centered Heading" xfId="863"/>
    <cellStyle name="Cents" xfId="864"/>
    <cellStyle name="CFnozeros" xfId="865"/>
    <cellStyle name="CFtotal$" xfId="866"/>
    <cellStyle name="Change A&amp;ll" xfId="867"/>
    <cellStyle name="Characteristic" xfId="868"/>
    <cellStyle name="Characteristic 2" xfId="869"/>
    <cellStyle name="CharactGroup" xfId="870"/>
    <cellStyle name="CharactNote" xfId="871"/>
    <cellStyle name="CharactNote 2" xfId="872"/>
    <cellStyle name="CharactType" xfId="873"/>
    <cellStyle name="CharactType 2" xfId="874"/>
    <cellStyle name="CharactValue" xfId="875"/>
    <cellStyle name="CharactValueNote" xfId="876"/>
    <cellStyle name="CharactValueNote 2" xfId="877"/>
    <cellStyle name="CharShortType" xfId="878"/>
    <cellStyle name="ChartingText" xfId="879"/>
    <cellStyle name="CHECK" xfId="880"/>
    <cellStyle name="Check Cell 2" xfId="881"/>
    <cellStyle name="Check Cell 3" xfId="882"/>
    <cellStyle name="Check Cell 4" xfId="883"/>
    <cellStyle name="CIAI¡E￠c￠®¡¿￠®E¡EcU¡E￠cE¡E￠c¨I¡ⓒ¡E￠cIiA¡E￠c￠®¡¿I" xfId="884"/>
    <cellStyle name="CLEAR" xfId="885"/>
    <cellStyle name="Client" xfId="886"/>
    <cellStyle name="Co. Names" xfId="887"/>
    <cellStyle name="COLUMN TITLES" xfId="888"/>
    <cellStyle name="Column_Title" xfId="889"/>
    <cellStyle name="column1" xfId="890"/>
    <cellStyle name="column1BigNoWrap" xfId="891"/>
    <cellStyle name="column1Date" xfId="892"/>
    <cellStyle name="column2Date" xfId="893"/>
    <cellStyle name="column3Date" xfId="894"/>
    <cellStyle name="ColumnHeaderNormal" xfId="895"/>
    <cellStyle name="ComƖ_x0001_" xfId="896"/>
    <cellStyle name="Comma  - Estilo1" xfId="897"/>
    <cellStyle name="Comma  - Estilo2" xfId="898"/>
    <cellStyle name="Comma  - Estilo3" xfId="899"/>
    <cellStyle name="Comma  - Estilo4" xfId="900"/>
    <cellStyle name="Comma  - Estilo5" xfId="901"/>
    <cellStyle name="Comma  - Estilo6" xfId="902"/>
    <cellStyle name="Comma  - Estilo7" xfId="903"/>
    <cellStyle name="Comma  - Estilo8" xfId="904"/>
    <cellStyle name="Comma  - Style1" xfId="905"/>
    <cellStyle name="Comma  - Style2" xfId="906"/>
    <cellStyle name="Comma  - Style3" xfId="907"/>
    <cellStyle name="Comma  - Style4" xfId="908"/>
    <cellStyle name="Comma  - Style5" xfId="909"/>
    <cellStyle name="Comma  - Style6" xfId="910"/>
    <cellStyle name="Comma  - Style7" xfId="911"/>
    <cellStyle name="Comma  - Style8" xfId="912"/>
    <cellStyle name="Comma (1)" xfId="913"/>
    <cellStyle name="Comma [0] 2" xfId="2024"/>
    <cellStyle name="Comma [00]" xfId="914"/>
    <cellStyle name="Comma [00] 2" xfId="915"/>
    <cellStyle name="Comma [00] 3" xfId="916"/>
    <cellStyle name="Comma [00] 4" xfId="917"/>
    <cellStyle name="Comma [1]" xfId="918"/>
    <cellStyle name="Comma 0" xfId="919"/>
    <cellStyle name="Comma 0*" xfId="920"/>
    <cellStyle name="Comma 0_$ M-cap" xfId="921"/>
    <cellStyle name="Comma 10" xfId="922"/>
    <cellStyle name="Comma 11" xfId="923"/>
    <cellStyle name="Comma 12" xfId="924"/>
    <cellStyle name="Comma 13" xfId="925"/>
    <cellStyle name="Comma 14" xfId="926"/>
    <cellStyle name="Comma 15" xfId="927"/>
    <cellStyle name="Comma 16" xfId="928"/>
    <cellStyle name="Comma 17" xfId="929"/>
    <cellStyle name="Comma 18" xfId="930"/>
    <cellStyle name="Comma 19" xfId="931"/>
    <cellStyle name="Comma 2" xfId="932"/>
    <cellStyle name="Comma 2 10" xfId="933"/>
    <cellStyle name="Comma 2 2" xfId="934"/>
    <cellStyle name="Comma 2 3" xfId="935"/>
    <cellStyle name="Comma 2 4" xfId="936"/>
    <cellStyle name="Comma 2 5" xfId="1886"/>
    <cellStyle name="Comma 2*" xfId="937"/>
    <cellStyle name="Comma 2_Summary by business example" xfId="938"/>
    <cellStyle name="Comma 20" xfId="939"/>
    <cellStyle name="Comma 21" xfId="940"/>
    <cellStyle name="Comma 22" xfId="941"/>
    <cellStyle name="Comma 23" xfId="942"/>
    <cellStyle name="Comma 24" xfId="943"/>
    <cellStyle name="Comma 25" xfId="944"/>
    <cellStyle name="Comma 26" xfId="1878"/>
    <cellStyle name="Comma 27" xfId="1881"/>
    <cellStyle name="Comma 28" xfId="2025"/>
    <cellStyle name="Comma 29" xfId="2026"/>
    <cellStyle name="Comma 3" xfId="945"/>
    <cellStyle name="Comma 3 2" xfId="946"/>
    <cellStyle name="Comma 3 3" xfId="947"/>
    <cellStyle name="Comma 3 4" xfId="948"/>
    <cellStyle name="Comma 3 5" xfId="1918"/>
    <cellStyle name="Comma 3*" xfId="949"/>
    <cellStyle name="Comma 30" xfId="2027"/>
    <cellStyle name="Comma 31" xfId="2028"/>
    <cellStyle name="Comma 32" xfId="2029"/>
    <cellStyle name="Comma 33" xfId="2030"/>
    <cellStyle name="Comma 34" xfId="2031"/>
    <cellStyle name="Comma 35" xfId="2032"/>
    <cellStyle name="Comma 36" xfId="2033"/>
    <cellStyle name="Comma 37" xfId="2034"/>
    <cellStyle name="Comma 38" xfId="2036"/>
    <cellStyle name="Comma 38 2" xfId="2045"/>
    <cellStyle name="Comma 39" xfId="2039"/>
    <cellStyle name="Comma 4" xfId="950"/>
    <cellStyle name="Comma 4 2" xfId="1919"/>
    <cellStyle name="Comma 40" xfId="2041"/>
    <cellStyle name="Comma 41" xfId="2050"/>
    <cellStyle name="Comma 42" xfId="2062"/>
    <cellStyle name="Comma 43" xfId="2048"/>
    <cellStyle name="Comma 44" xfId="2067"/>
    <cellStyle name="Comma 45" xfId="2081"/>
    <cellStyle name="Comma 45 2" xfId="2094"/>
    <cellStyle name="Comma 46" xfId="2078"/>
    <cellStyle name="Comma 46 2" xfId="2091"/>
    <cellStyle name="Comma 47" xfId="2076"/>
    <cellStyle name="Comma 47 2" xfId="2089"/>
    <cellStyle name="Comma 48" xfId="2073"/>
    <cellStyle name="Comma 48 2" xfId="2086"/>
    <cellStyle name="Comma 49" xfId="2097"/>
    <cellStyle name="Comma 5" xfId="951"/>
    <cellStyle name="Comma 6" xfId="952"/>
    <cellStyle name="Comma 7" xfId="953"/>
    <cellStyle name="Comma 8" xfId="954"/>
    <cellStyle name="Comma 9" xfId="955"/>
    <cellStyle name="Comma Cents" xfId="956"/>
    <cellStyle name="comma zerodec" xfId="957"/>
    <cellStyle name="Comma*" xfId="958"/>
    <cellStyle name="COMMA, 0" xfId="959"/>
    <cellStyle name="Comma0" xfId="960"/>
    <cellStyle name="Comma0 - Modelo1" xfId="961"/>
    <cellStyle name="Comma0 - Style1" xfId="962"/>
    <cellStyle name="Comma0_M&amp;A Page" xfId="963"/>
    <cellStyle name="Comma1 - Modelo2" xfId="964"/>
    <cellStyle name="Comma1 - Style2" xfId="965"/>
    <cellStyle name="Comment" xfId="966"/>
    <cellStyle name="commit" xfId="967"/>
    <cellStyle name="Company Name" xfId="968"/>
    <cellStyle name="CompanyName" xfId="969"/>
    <cellStyle name="Component" xfId="970"/>
    <cellStyle name="Condition" xfId="971"/>
    <cellStyle name="Condition 2" xfId="972"/>
    <cellStyle name="CondMandatory" xfId="973"/>
    <cellStyle name="CondMandatory 2" xfId="974"/>
    <cellStyle name="Content1" xfId="975"/>
    <cellStyle name="Content1 2" xfId="976"/>
    <cellStyle name="Content2" xfId="977"/>
    <cellStyle name="Content3" xfId="978"/>
    <cellStyle name="Copied" xfId="979"/>
    <cellStyle name="Cover Date" xfId="980"/>
    <cellStyle name="Cover Subtitle" xfId="981"/>
    <cellStyle name="Cover Title" xfId="982"/>
    <cellStyle name="Cuadro 1" xfId="983"/>
    <cellStyle name="Cuadro 2" xfId="984"/>
    <cellStyle name="Currency" xfId="2" builtinId="4"/>
    <cellStyle name="Currency (1)" xfId="985"/>
    <cellStyle name="Currency [00]" xfId="986"/>
    <cellStyle name="Currency [00] 2" xfId="987"/>
    <cellStyle name="Currency [00] 3" xfId="988"/>
    <cellStyle name="Currency [00] 4" xfId="989"/>
    <cellStyle name="Currency [1]" xfId="990"/>
    <cellStyle name="Currency [2]" xfId="991"/>
    <cellStyle name="Currency 0" xfId="992"/>
    <cellStyle name="Currency 10" xfId="993"/>
    <cellStyle name="Currency 11" xfId="994"/>
    <cellStyle name="Currency 12" xfId="995"/>
    <cellStyle name="Currency 13" xfId="996"/>
    <cellStyle name="Currency 14" xfId="997"/>
    <cellStyle name="Currency 15" xfId="998"/>
    <cellStyle name="Currency 16" xfId="999"/>
    <cellStyle name="Currency 17" xfId="1000"/>
    <cellStyle name="Currency 18" xfId="1001"/>
    <cellStyle name="Currency 19" xfId="1002"/>
    <cellStyle name="Currency 2" xfId="1003"/>
    <cellStyle name="Currency 2 2" xfId="1920"/>
    <cellStyle name="Currency 2*" xfId="1004"/>
    <cellStyle name="Currency 2_(13) Japan" xfId="1005"/>
    <cellStyle name="Currency 20" xfId="1879"/>
    <cellStyle name="Currency 21" xfId="1882"/>
    <cellStyle name="Currency 22" xfId="2037"/>
    <cellStyle name="Currency 22 2" xfId="2046"/>
    <cellStyle name="Currency 23" xfId="2040"/>
    <cellStyle name="Currency 24" xfId="2043"/>
    <cellStyle name="Currency 25" xfId="2051"/>
    <cellStyle name="Currency 26" xfId="2061"/>
    <cellStyle name="Currency 27" xfId="2049"/>
    <cellStyle name="Currency 28" xfId="2068"/>
    <cellStyle name="Currency 29" xfId="2080"/>
    <cellStyle name="Currency 29 2" xfId="2093"/>
    <cellStyle name="Currency 3" xfId="1006"/>
    <cellStyle name="Currency 3*" xfId="1007"/>
    <cellStyle name="Currency 30" xfId="2077"/>
    <cellStyle name="Currency 30 2" xfId="2090"/>
    <cellStyle name="Currency 31" xfId="2074"/>
    <cellStyle name="Currency 31 2" xfId="2087"/>
    <cellStyle name="Currency 32" xfId="2071"/>
    <cellStyle name="Currency 32 2" xfId="2084"/>
    <cellStyle name="Currency 33" xfId="2070"/>
    <cellStyle name="Currency 34" xfId="2083"/>
    <cellStyle name="Currency 35" xfId="2069"/>
    <cellStyle name="Currency 36" xfId="2099"/>
    <cellStyle name="Currency 4" xfId="1008"/>
    <cellStyle name="Currency 4 2" xfId="1921"/>
    <cellStyle name="Currency 5" xfId="1009"/>
    <cellStyle name="Currency 5 2" xfId="1922"/>
    <cellStyle name="Currency 6" xfId="1010"/>
    <cellStyle name="Currency 6 2" xfId="1011"/>
    <cellStyle name="Currency 7" xfId="1012"/>
    <cellStyle name="Currency 8" xfId="1013"/>
    <cellStyle name="Currency 9" xfId="1014"/>
    <cellStyle name="Currency*" xfId="1015"/>
    <cellStyle name="Currency0" xfId="1016"/>
    <cellStyle name="Currency1" xfId="1017"/>
    <cellStyle name="Currency2" xfId="1018"/>
    <cellStyle name="currencyi" xfId="1019"/>
    <cellStyle name="custeq" xfId="1020"/>
    <cellStyle name="Custom - Style1" xfId="1021"/>
    <cellStyle name="Dash" xfId="1022"/>
    <cellStyle name="Data" xfId="1023"/>
    <cellStyle name="Data   - Style2" xfId="1024"/>
    <cellStyle name="DataEntry" xfId="1025"/>
    <cellStyle name="DataEntry%" xfId="1026"/>
    <cellStyle name="Date" xfId="1027"/>
    <cellStyle name="Date 2" xfId="1028"/>
    <cellStyle name="Date 3" xfId="1029"/>
    <cellStyle name="Date 4" xfId="1030"/>
    <cellStyle name="Date Aligned" xfId="1031"/>
    <cellStyle name="Date Aligned*" xfId="1032"/>
    <cellStyle name="Date Aligned_050210 -Conavi Standalone_v11_a" xfId="1033"/>
    <cellStyle name="Date Short" xfId="1034"/>
    <cellStyle name="Date, mmm-yy" xfId="1035"/>
    <cellStyle name="Date_1Q04 Flash Template - Asia_version II" xfId="1036"/>
    <cellStyle name="DELTA" xfId="1037"/>
    <cellStyle name="DEnormalgray" xfId="1038"/>
    <cellStyle name="Dept Heading" xfId="1039"/>
    <cellStyle name="Description" xfId="1040"/>
    <cellStyle name="Dezimal__Utopia Index Index und Guidance (Deutsch)" xfId="1041"/>
    <cellStyle name="Dia" xfId="1042"/>
    <cellStyle name="Discount" xfId="1043"/>
    <cellStyle name="Discount 2" xfId="1044"/>
    <cellStyle name="DistributionType" xfId="1045"/>
    <cellStyle name="DistributionType 2" xfId="1046"/>
    <cellStyle name="dividend$" xfId="1047"/>
    <cellStyle name="dividends" xfId="1048"/>
    <cellStyle name="Dollar" xfId="1049"/>
    <cellStyle name="Dollar (zero dec)" xfId="1050"/>
    <cellStyle name="dollar_Gama Eqty_0808_80%" xfId="1051"/>
    <cellStyle name="Dollars" xfId="1052"/>
    <cellStyle name="Dotted Borders" xfId="1053"/>
    <cellStyle name="Dotted Line" xfId="1054"/>
    <cellStyle name="Dziesiętny [0]_Arkusz1" xfId="1055"/>
    <cellStyle name="Dziesiętny_Arkusz1" xfId="1056"/>
    <cellStyle name="Encabez1" xfId="1057"/>
    <cellStyle name="Encabez2" xfId="1058"/>
    <cellStyle name="Enter Currency (0)" xfId="1059"/>
    <cellStyle name="Enter Currency (0) 2" xfId="1060"/>
    <cellStyle name="Enter Currency (0) 3" xfId="1061"/>
    <cellStyle name="Enter Currency (0) 4" xfId="1062"/>
    <cellStyle name="Enter Currency (2)" xfId="1063"/>
    <cellStyle name="Enter Currency (2) 2" xfId="1064"/>
    <cellStyle name="Enter Currency (2) 3" xfId="1065"/>
    <cellStyle name="Enter Currency (2) 4" xfId="1066"/>
    <cellStyle name="Enter Units (0)" xfId="1067"/>
    <cellStyle name="Enter Units (0) 2" xfId="1068"/>
    <cellStyle name="Enter Units (0) 3" xfId="1069"/>
    <cellStyle name="Enter Units (0) 4" xfId="1070"/>
    <cellStyle name="Enter Units (1)" xfId="1071"/>
    <cellStyle name="Enter Units (1) 2" xfId="1072"/>
    <cellStyle name="Enter Units (1) 3" xfId="1073"/>
    <cellStyle name="Enter Units (1) 4" xfId="1074"/>
    <cellStyle name="Enter Units (2)" xfId="1075"/>
    <cellStyle name="Enter Units (2) 2" xfId="1076"/>
    <cellStyle name="Enter Units (2) 3" xfId="1077"/>
    <cellStyle name="Enter Units (2) 4" xfId="1078"/>
    <cellStyle name="Entered" xfId="1079"/>
    <cellStyle name="Entry" xfId="1080"/>
    <cellStyle name="eps$" xfId="1081"/>
    <cellStyle name="ER$AS" xfId="1082"/>
    <cellStyle name="ER$IS" xfId="1083"/>
    <cellStyle name="ER$IS (2)" xfId="1084"/>
    <cellStyle name="ER$IS_2003 OpRecon" xfId="1085"/>
    <cellStyle name="ERCOM" xfId="1086"/>
    <cellStyle name="erdivid" xfId="1087"/>
    <cellStyle name="ereps$" xfId="1088"/>
    <cellStyle name="ERIS" xfId="1089"/>
    <cellStyle name="ERnozeros" xfId="1090"/>
    <cellStyle name="ERtotal$" xfId="1091"/>
    <cellStyle name="Euro" xfId="1092"/>
    <cellStyle name="ew]_x000d__x000a_userName=em bkk fc_x000d__x000a_mailPath=L:\MAILVIEW\_x000d__x000a_wordWrapCol=70_x000d__x000a_timeZone=SNG_x000d__x000a_hoursFromGMT=8_x000d__x000a_dayLightSta" xfId="1093"/>
    <cellStyle name="Explanatory Text 2" xfId="1094"/>
    <cellStyle name="Explanatory Text 3" xfId="1095"/>
    <cellStyle name="Explanatory Text 4" xfId="1096"/>
    <cellStyle name="ExtRef_Date" xfId="1097"/>
    <cellStyle name="EY0dp" xfId="1098"/>
    <cellStyle name="EYColumnHeading" xfId="1099"/>
    <cellStyle name="EYnumber" xfId="1100"/>
    <cellStyle name="EYSheetHeader1" xfId="1101"/>
    <cellStyle name="EYtext" xfId="1102"/>
    <cellStyle name="F2" xfId="1103"/>
    <cellStyle name="F3" xfId="1104"/>
    <cellStyle name="F4" xfId="1105"/>
    <cellStyle name="F5" xfId="1106"/>
    <cellStyle name="F6" xfId="1107"/>
    <cellStyle name="F7" xfId="1108"/>
    <cellStyle name="F8" xfId="1109"/>
    <cellStyle name="Feature" xfId="1110"/>
    <cellStyle name="Fecha" xfId="1111"/>
    <cellStyle name="Fijo" xfId="1112"/>
    <cellStyle name="Financiero" xfId="1113"/>
    <cellStyle name="Fixed" xfId="1114"/>
    <cellStyle name="Flag" xfId="1115"/>
    <cellStyle name="ƒnƒCƒp[ƒŠƒ“ƒN" xfId="1116"/>
    <cellStyle name="fo]_x000d__x000a_UserName=Murat Zelef_x000d__x000a_UserCompany=Bumerang_x000d__x000a__x000d__x000a_[File Paths]_x000d__x000a_WorkingDirectory=C:\EQUIS\DLWIN_x000d__x000a_DownLoader=C" xfId="1117"/>
    <cellStyle name="Fonts" xfId="1118"/>
    <cellStyle name="Footer SBILogo1" xfId="1119"/>
    <cellStyle name="Footer SBILogo2" xfId="1120"/>
    <cellStyle name="Footnote" xfId="1121"/>
    <cellStyle name="Footnote Reference" xfId="1122"/>
    <cellStyle name="Footnote_% Change" xfId="1123"/>
    <cellStyle name="Footnotes" xfId="1124"/>
    <cellStyle name="Formulas" xfId="1125"/>
    <cellStyle name="Fraction Change" xfId="1126"/>
    <cellStyle name="Fractions" xfId="1127"/>
    <cellStyle name="GENARAL" xfId="1128"/>
    <cellStyle name="general" xfId="1129"/>
    <cellStyle name="Good 2" xfId="1130"/>
    <cellStyle name="Good 3" xfId="1131"/>
    <cellStyle name="Good 4" xfId="1132"/>
    <cellStyle name="grayText2" xfId="1133"/>
    <cellStyle name="grayText2Big" xfId="1134"/>
    <cellStyle name="Grey" xfId="1135"/>
    <cellStyle name="Group" xfId="1136"/>
    <cellStyle name="Group 2" xfId="1137"/>
    <cellStyle name="GroupNote" xfId="1138"/>
    <cellStyle name="Growth Rates/Margins" xfId="1139"/>
    <cellStyle name="Hard Percent" xfId="1140"/>
    <cellStyle name="Header" xfId="1141"/>
    <cellStyle name="Header Draft Stamp" xfId="1142"/>
    <cellStyle name="Header_% Change" xfId="1143"/>
    <cellStyle name="Header1" xfId="1144"/>
    <cellStyle name="Header2" xfId="1145"/>
    <cellStyle name="headers" xfId="1146"/>
    <cellStyle name="Heading" xfId="1147"/>
    <cellStyle name="Heading 1 2" xfId="1148"/>
    <cellStyle name="Heading 1 3" xfId="1149"/>
    <cellStyle name="Heading 1 4" xfId="1150"/>
    <cellStyle name="Heading 1 Above" xfId="1151"/>
    <cellStyle name="Heading 1+" xfId="1152"/>
    <cellStyle name="Heading 2 2" xfId="1153"/>
    <cellStyle name="Heading 2 3" xfId="1154"/>
    <cellStyle name="Heading 2 4" xfId="1155"/>
    <cellStyle name="Heading 2 Below" xfId="1156"/>
    <cellStyle name="Heading 2+" xfId="1157"/>
    <cellStyle name="Heading 3 2" xfId="1158"/>
    <cellStyle name="Heading 3 3" xfId="1159"/>
    <cellStyle name="Heading 3 4" xfId="1160"/>
    <cellStyle name="Heading 3+" xfId="1161"/>
    <cellStyle name="Heading 4 2" xfId="1162"/>
    <cellStyle name="Heading 4 3" xfId="1163"/>
    <cellStyle name="Heading 4 4" xfId="1164"/>
    <cellStyle name="Heading No Underline" xfId="1165"/>
    <cellStyle name="Heading With Underline" xfId="1166"/>
    <cellStyle name="Heading1" xfId="1167"/>
    <cellStyle name="Heading1 1" xfId="1168"/>
    <cellStyle name="Heading1 2" xfId="1169"/>
    <cellStyle name="Heading1 3" xfId="1170"/>
    <cellStyle name="Heading1 4" xfId="1171"/>
    <cellStyle name="Heading1_CIR Master January 2004(V 1.2 pqr restructure)" xfId="1172"/>
    <cellStyle name="Heading2" xfId="1173"/>
    <cellStyle name="Heading2 2" xfId="1174"/>
    <cellStyle name="Heading2 3" xfId="1175"/>
    <cellStyle name="Heading2 4" xfId="1176"/>
    <cellStyle name="Heading3" xfId="1177"/>
    <cellStyle name="Heading4" xfId="1178"/>
    <cellStyle name="Heading5" xfId="1179"/>
    <cellStyle name="HEADINGS" xfId="1180"/>
    <cellStyle name="HEADINGSTOP" xfId="1181"/>
    <cellStyle name="HeadlineStyle" xfId="1182"/>
    <cellStyle name="HeadlineStyleJustified" xfId="1183"/>
    <cellStyle name="Hiperłącze_Plan vs Actuals" xfId="1184"/>
    <cellStyle name="Hipervínculo_infomacroec 0103 ACS" xfId="1185"/>
    <cellStyle name="Horizontal" xfId="1186"/>
    <cellStyle name="Hyperlink" xfId="3" builtinId="8"/>
    <cellStyle name="Hyperlink 10" xfId="1923"/>
    <cellStyle name="Hyperlink 11" xfId="1924"/>
    <cellStyle name="Hyperlink 12" xfId="1925"/>
    <cellStyle name="Hyperlink 13" xfId="1926"/>
    <cellStyle name="Hyperlink 14" xfId="1927"/>
    <cellStyle name="Hyperlink 15" xfId="1928"/>
    <cellStyle name="Hyperlink 16" xfId="1929"/>
    <cellStyle name="Hyperlink 17" xfId="1930"/>
    <cellStyle name="Hyperlink 2" xfId="1931"/>
    <cellStyle name="Hyperlink 2 2" xfId="2052"/>
    <cellStyle name="Hyperlink 3" xfId="1932"/>
    <cellStyle name="Hyperlink 4" xfId="1933"/>
    <cellStyle name="Hyperlink 5" xfId="1934"/>
    <cellStyle name="Hyperlink 6" xfId="1935"/>
    <cellStyle name="Hyperlink 7" xfId="1936"/>
    <cellStyle name="Hyperlink 8" xfId="1937"/>
    <cellStyle name="Hyperlink 9" xfId="1938"/>
    <cellStyle name="Hyperlink seguido" xfId="1187"/>
    <cellStyle name="Indefinido" xfId="1188"/>
    <cellStyle name="Input [yellow]" xfId="1189"/>
    <cellStyle name="Input 10" xfId="1190"/>
    <cellStyle name="Input 11" xfId="1191"/>
    <cellStyle name="Input 12" xfId="1192"/>
    <cellStyle name="Input 13" xfId="1193"/>
    <cellStyle name="Input 14" xfId="1194"/>
    <cellStyle name="Input 15" xfId="1195"/>
    <cellStyle name="Input 16" xfId="1196"/>
    <cellStyle name="Input 17" xfId="1197"/>
    <cellStyle name="Input 18" xfId="1198"/>
    <cellStyle name="Input 19" xfId="1199"/>
    <cellStyle name="Input 2" xfId="1200"/>
    <cellStyle name="Input 20" xfId="1201"/>
    <cellStyle name="Input 3" xfId="1202"/>
    <cellStyle name="Input 4" xfId="1203"/>
    <cellStyle name="Input 5" xfId="1204"/>
    <cellStyle name="Input 6" xfId="1205"/>
    <cellStyle name="Input 7" xfId="1206"/>
    <cellStyle name="Input 8" xfId="1207"/>
    <cellStyle name="Input 9" xfId="1208"/>
    <cellStyle name="Input Box" xfId="1209"/>
    <cellStyle name="Input Currency" xfId="1210"/>
    <cellStyle name="Input Currency 2" xfId="1211"/>
    <cellStyle name="Input Currency_Marketing Services comps" xfId="1212"/>
    <cellStyle name="Input Multiple" xfId="1213"/>
    <cellStyle name="Input Percent" xfId="1214"/>
    <cellStyle name="InputBlueFont" xfId="1215"/>
    <cellStyle name="InputBlueFontLocked" xfId="1216"/>
    <cellStyle name="InputCurrency" xfId="1217"/>
    <cellStyle name="InputCurrency2" xfId="1218"/>
    <cellStyle name="InputDescriptions" xfId="1219"/>
    <cellStyle name="InputMultiple1" xfId="1220"/>
    <cellStyle name="InputPercent1" xfId="1221"/>
    <cellStyle name="Integer" xfId="1222"/>
    <cellStyle name="Introduction" xfId="1223"/>
    <cellStyle name="Invisible" xfId="1224"/>
    <cellStyle name="Item Descriptions" xfId="1225"/>
    <cellStyle name="Item Descriptions - Bold" xfId="1226"/>
    <cellStyle name="Item Descriptions_6079BX" xfId="1227"/>
    <cellStyle name="J_x0005__x0005_IJ_x0009__x001c__x0001__x0001__x0010__x0001_ဠ" xfId="1228"/>
    <cellStyle name="JunPref" xfId="1229"/>
    <cellStyle name="Labels - Style3" xfId="1230"/>
    <cellStyle name="leftStyle" xfId="1231"/>
    <cellStyle name="leftStyle2" xfId="1232"/>
    <cellStyle name="Level" xfId="1233"/>
    <cellStyle name="Level 2" xfId="1234"/>
    <cellStyle name="Lien hypertexte" xfId="1235"/>
    <cellStyle name="Lien hypertexte visité" xfId="1236"/>
    <cellStyle name="Line - Style2" xfId="1237"/>
    <cellStyle name="LineX - Style3" xfId="1238"/>
    <cellStyle name="Link Currency (0)" xfId="1239"/>
    <cellStyle name="Link Currency (0) 2" xfId="1240"/>
    <cellStyle name="Link Currency (0) 3" xfId="1241"/>
    <cellStyle name="Link Currency (0) 4" xfId="1242"/>
    <cellStyle name="Link Currency (2)" xfId="1243"/>
    <cellStyle name="Link Currency (2) 2" xfId="1244"/>
    <cellStyle name="Link Currency (2) 3" xfId="1245"/>
    <cellStyle name="Link Currency (2) 4" xfId="1246"/>
    <cellStyle name="Link Units (0)" xfId="1247"/>
    <cellStyle name="Link Units (0) 2" xfId="1248"/>
    <cellStyle name="Link Units (0) 3" xfId="1249"/>
    <cellStyle name="Link Units (0) 4" xfId="1250"/>
    <cellStyle name="Link Units (1)" xfId="1251"/>
    <cellStyle name="Link Units (1) 2" xfId="1252"/>
    <cellStyle name="Link Units (1) 3" xfId="1253"/>
    <cellStyle name="Link Units (1) 4" xfId="1254"/>
    <cellStyle name="Link Units (2)" xfId="1255"/>
    <cellStyle name="Link Units (2) 2" xfId="1256"/>
    <cellStyle name="Link Units (2) 3" xfId="1257"/>
    <cellStyle name="Link Units (2) 4" xfId="1258"/>
    <cellStyle name="Linked Cell 2" xfId="1259"/>
    <cellStyle name="Linked Cell 3" xfId="1260"/>
    <cellStyle name="Linked Cell 4" xfId="1261"/>
    <cellStyle name="lisa" xfId="1262"/>
    <cellStyle name="marked" xfId="1263"/>
    <cellStyle name="MICRO BOSTON" xfId="1264"/>
    <cellStyle name="Millares [0]_~2238270" xfId="1265"/>
    <cellStyle name="Millares_092000" xfId="1266"/>
    <cellStyle name="Milliers [0]_BOA_M10R NOV 00" xfId="1267"/>
    <cellStyle name="Milliers_BO SYS Replacement 1104 (1)" xfId="1268"/>
    <cellStyle name="Model" xfId="1269"/>
    <cellStyle name="Moeda [0]" xfId="1270"/>
    <cellStyle name="Moeda_1" xfId="1271"/>
    <cellStyle name="Moneda [0]_10 AVERIAS MASIVAS + ANT" xfId="1272"/>
    <cellStyle name="Moneda_10 AVERIAS MASIVAS + ANT" xfId="1273"/>
    <cellStyle name="Monétaire [0]_BOA_M10R NOV 00" xfId="1274"/>
    <cellStyle name="Monétaire_BOA_M10R NOV 00" xfId="1275"/>
    <cellStyle name="Monetario" xfId="1276"/>
    <cellStyle name="Monetario0" xfId="1277"/>
    <cellStyle name="Multiple" xfId="1278"/>
    <cellStyle name="Multiple [0]" xfId="1279"/>
    <cellStyle name="Multiple [1]" xfId="1280"/>
    <cellStyle name="Multiple_% Change" xfId="1281"/>
    <cellStyle name="Multiple1" xfId="1282"/>
    <cellStyle name="MultipleBelow" xfId="1283"/>
    <cellStyle name="n.0" xfId="1284"/>
    <cellStyle name="n.1" xfId="1285"/>
    <cellStyle name="n.2" xfId="1286"/>
    <cellStyle name="n.3" xfId="1287"/>
    <cellStyle name="Ñ®w©q" xfId="1939"/>
    <cellStyle name="Neutral 2" xfId="1288"/>
    <cellStyle name="Neutral 3" xfId="1289"/>
    <cellStyle name="Neutral 4" xfId="1290"/>
    <cellStyle name="NewColumnHeaderNormal" xfId="1291"/>
    <cellStyle name="NewSectionHeaderNormal" xfId="1292"/>
    <cellStyle name="NewTitleNormal" xfId="1293"/>
    <cellStyle name="nnor" xfId="1294"/>
    <cellStyle name="nnormal" xfId="1295"/>
    <cellStyle name="no dec" xfId="1296"/>
    <cellStyle name="No-definido" xfId="1297"/>
    <cellStyle name="Nor}al" xfId="1940"/>
    <cellStyle name="Noríal_silicon_object_tcsi" xfId="1298"/>
    <cellStyle name="Normal" xfId="0" builtinId="0"/>
    <cellStyle name="Normal - Style1" xfId="1299"/>
    <cellStyle name="Normal - Style1 2" xfId="1300"/>
    <cellStyle name="Normal - Style1 2 2" xfId="1301"/>
    <cellStyle name="Normal - Style1 3" xfId="1302"/>
    <cellStyle name="Normal - Style1 4" xfId="1303"/>
    <cellStyle name="Normal - Style2" xfId="1304"/>
    <cellStyle name="Normal - Style3" xfId="1305"/>
    <cellStyle name="Normal - Style4" xfId="1306"/>
    <cellStyle name="Normal - Style5" xfId="1307"/>
    <cellStyle name="Normal - Style6" xfId="1308"/>
    <cellStyle name="Normal - Style7" xfId="1309"/>
    <cellStyle name="Normal - Style8" xfId="1310"/>
    <cellStyle name="Normal 0" xfId="1311"/>
    <cellStyle name="Normal 10" xfId="1312"/>
    <cellStyle name="Normal 10 2" xfId="1941"/>
    <cellStyle name="Normal 11" xfId="1313"/>
    <cellStyle name="Normal 11 2" xfId="1942"/>
    <cellStyle name="Normal 12" xfId="1314"/>
    <cellStyle name="Normal 12 2" xfId="1943"/>
    <cellStyle name="Normal 13" xfId="1315"/>
    <cellStyle name="Normal 13 2" xfId="1944"/>
    <cellStyle name="Normal 14" xfId="1316"/>
    <cellStyle name="Normal 14 2" xfId="1945"/>
    <cellStyle name="Normal 15" xfId="1317"/>
    <cellStyle name="Normal 15 2" xfId="1947"/>
    <cellStyle name="Normal 15 3" xfId="1946"/>
    <cellStyle name="Normal 15 4" xfId="2053"/>
    <cellStyle name="Normal 16" xfId="1318"/>
    <cellStyle name="Normal 16 2" xfId="1948"/>
    <cellStyle name="Normal 17" xfId="1319"/>
    <cellStyle name="Normal 17 2" xfId="1949"/>
    <cellStyle name="Normal 18" xfId="1320"/>
    <cellStyle name="Normal 18 2" xfId="1950"/>
    <cellStyle name="Normal 19" xfId="1321"/>
    <cellStyle name="Normal 19 2" xfId="1951"/>
    <cellStyle name="Normal 2" xfId="1322"/>
    <cellStyle name="Normal 2 10" xfId="1952"/>
    <cellStyle name="Normal 2 10 2" xfId="1953"/>
    <cellStyle name="Normal 2 11" xfId="1954"/>
    <cellStyle name="Normal 2 12" xfId="1955"/>
    <cellStyle name="Normal 2 12 2" xfId="1956"/>
    <cellStyle name="Normal 2 13" xfId="1957"/>
    <cellStyle name="Normal 2 14" xfId="1958"/>
    <cellStyle name="Normal 2 15" xfId="1959"/>
    <cellStyle name="Normal 2 16" xfId="1960"/>
    <cellStyle name="Normal 2 17" xfId="2054"/>
    <cellStyle name="Normal 2 2" xfId="1323"/>
    <cellStyle name="Normal 2 2 2" xfId="1961"/>
    <cellStyle name="Normal 2 2 3" xfId="2055"/>
    <cellStyle name="Normal 2 3" xfId="1324"/>
    <cellStyle name="Normal 2 3 2" xfId="1962"/>
    <cellStyle name="Normal 2 4" xfId="1325"/>
    <cellStyle name="Normal 2 4 2" xfId="1963"/>
    <cellStyle name="Normal 2 5" xfId="1326"/>
    <cellStyle name="Normal 2 5 2" xfId="1964"/>
    <cellStyle name="Normal 2 6" xfId="1885"/>
    <cellStyle name="Normal 2 6 2" xfId="1965"/>
    <cellStyle name="Normal 2 7" xfId="1966"/>
    <cellStyle name="Normal 2 8" xfId="1967"/>
    <cellStyle name="Normal 2 9" xfId="1968"/>
    <cellStyle name="Normal 2_DRAFT-RKR-Distributed_hw-v1.0" xfId="1969"/>
    <cellStyle name="Normal 20" xfId="1327"/>
    <cellStyle name="Normal 20 2" xfId="1970"/>
    <cellStyle name="Normal 21" xfId="1328"/>
    <cellStyle name="Normal 21 2" xfId="1971"/>
    <cellStyle name="Normal 22" xfId="1329"/>
    <cellStyle name="Normal 23" xfId="1330"/>
    <cellStyle name="Normal 24" xfId="1331"/>
    <cellStyle name="Normal 25" xfId="1332"/>
    <cellStyle name="Normal 26" xfId="1333"/>
    <cellStyle name="Normal 27" xfId="1334"/>
    <cellStyle name="Normal 28" xfId="1335"/>
    <cellStyle name="Normal 29" xfId="1336"/>
    <cellStyle name="Normal 3" xfId="1337"/>
    <cellStyle name="Normal 3 2" xfId="1338"/>
    <cellStyle name="Normal 3 3" xfId="1339"/>
    <cellStyle name="Normal 3 3 2" xfId="1972"/>
    <cellStyle name="Normal 3 4" xfId="1340"/>
    <cellStyle name="Normal 3 5" xfId="1341"/>
    <cellStyle name="Normal 30" xfId="1342"/>
    <cellStyle name="Normal 31" xfId="1343"/>
    <cellStyle name="Normal 32" xfId="1344"/>
    <cellStyle name="Normal 33" xfId="1345"/>
    <cellStyle name="Normal 34" xfId="1346"/>
    <cellStyle name="Normal 35" xfId="1347"/>
    <cellStyle name="Normal 36" xfId="1348"/>
    <cellStyle name="Normal 37" xfId="1349"/>
    <cellStyle name="Normal 38" xfId="1350"/>
    <cellStyle name="Normal 39" xfId="1351"/>
    <cellStyle name="Normal 4" xfId="1352"/>
    <cellStyle name="Normal 4 2" xfId="1353"/>
    <cellStyle name="Normal 4 3" xfId="1883"/>
    <cellStyle name="Normal 4 4" xfId="1973"/>
    <cellStyle name="Normal 40" xfId="1354"/>
    <cellStyle name="Normal 41" xfId="1355"/>
    <cellStyle name="Normal 42" xfId="1356"/>
    <cellStyle name="Normal 43" xfId="1357"/>
    <cellStyle name="Normal 43 2" xfId="1974"/>
    <cellStyle name="Normal 44" xfId="1358"/>
    <cellStyle name="Normal 45" xfId="1359"/>
    <cellStyle name="Normal 46" xfId="1360"/>
    <cellStyle name="Normal 47" xfId="1361"/>
    <cellStyle name="Normal 48" xfId="1876"/>
    <cellStyle name="Normal 49" xfId="1877"/>
    <cellStyle name="Normal 5" xfId="1362"/>
    <cellStyle name="Normal 5 2" xfId="1975"/>
    <cellStyle name="Normal 5 2 2" xfId="1976"/>
    <cellStyle name="Normal 5 2 3" xfId="1977"/>
    <cellStyle name="Normal 5 2 4" xfId="1978"/>
    <cellStyle name="Normal 5 2 5" xfId="1979"/>
    <cellStyle name="Normal 5 2 6" xfId="1980"/>
    <cellStyle name="Normal 5 2 7" xfId="1981"/>
    <cellStyle name="Normal 5 2 8" xfId="1982"/>
    <cellStyle name="Normal 5 3" xfId="2056"/>
    <cellStyle name="Normal 5 64" xfId="1363"/>
    <cellStyle name="Normal 50" xfId="1880"/>
    <cellStyle name="Normal 51" xfId="2035"/>
    <cellStyle name="Normal 51 2" xfId="2044"/>
    <cellStyle name="Normal 52" xfId="2038"/>
    <cellStyle name="Normal 53" xfId="2042"/>
    <cellStyle name="Normal 54" xfId="2047"/>
    <cellStyle name="Normal 55" xfId="2063"/>
    <cellStyle name="Normal 56" xfId="2065"/>
    <cellStyle name="Normal 57" xfId="2066"/>
    <cellStyle name="Normal 58" xfId="2082"/>
    <cellStyle name="Normal 58 2" xfId="2095"/>
    <cellStyle name="Normal 59" xfId="2079"/>
    <cellStyle name="Normal 59 2" xfId="2092"/>
    <cellStyle name="Normal 6" xfId="1364"/>
    <cellStyle name="Normal 6 2" xfId="1365"/>
    <cellStyle name="Normal 6 3" xfId="1366"/>
    <cellStyle name="Normal 6 4" xfId="2057"/>
    <cellStyle name="Normal 60" xfId="2075"/>
    <cellStyle name="Normal 60 2" xfId="2088"/>
    <cellStyle name="Normal 61" xfId="2072"/>
    <cellStyle name="Normal 61 2" xfId="2085"/>
    <cellStyle name="Normal 62" xfId="2096"/>
    <cellStyle name="Normal 63" xfId="2098"/>
    <cellStyle name="Normal 7" xfId="1367"/>
    <cellStyle name="Normal 7 2" xfId="1983"/>
    <cellStyle name="Normal 7 3" xfId="2058"/>
    <cellStyle name="Normal 8" xfId="1368"/>
    <cellStyle name="Normal 8 2" xfId="2059"/>
    <cellStyle name="Normal 9" xfId="1369"/>
    <cellStyle name="Normal 9 2" xfId="1984"/>
    <cellStyle name="Normal 9 3" xfId="2060"/>
    <cellStyle name="Normal2" xfId="1370"/>
    <cellStyle name="Normale_CE_cons" xfId="1371"/>
    <cellStyle name="NormalGB" xfId="1372"/>
    <cellStyle name="Normalny_04 obrotówka 2004-04-30" xfId="1373"/>
    <cellStyle name="norman" xfId="1374"/>
    <cellStyle name="Note 2" xfId="1375"/>
    <cellStyle name="Note 3" xfId="1376"/>
    <cellStyle name="Note 4" xfId="1377"/>
    <cellStyle name="Note 5" xfId="1378"/>
    <cellStyle name="nozeros" xfId="1379"/>
    <cellStyle name="nozeros(1)" xfId="1380"/>
    <cellStyle name="nozeros(2)" xfId="1381"/>
    <cellStyle name="nozeros_2003 OpRecon" xfId="1382"/>
    <cellStyle name="num1Style" xfId="1383"/>
    <cellStyle name="num1Styleb" xfId="1384"/>
    <cellStyle name="num4Style" xfId="1385"/>
    <cellStyle name="num4Styleb" xfId="1386"/>
    <cellStyle name="NUMBER" xfId="1387"/>
    <cellStyle name="Number4DecimalStyle" xfId="1388"/>
    <cellStyle name="Numbers" xfId="1389"/>
    <cellStyle name="Numbers - Bold" xfId="1390"/>
    <cellStyle name="Numbers_6079BX" xfId="1391"/>
    <cellStyle name="numPStyle" xfId="1392"/>
    <cellStyle name="numPStyleb" xfId="1393"/>
    <cellStyle name="numXStyle" xfId="1394"/>
    <cellStyle name="numXStyleb" xfId="1395"/>
    <cellStyle name="Odwiedzone hiperłącze_Plan vs Actuals" xfId="1396"/>
    <cellStyle name="Œ…‹æØ‚è [0.00]_# of Branches '98 to '01" xfId="1397"/>
    <cellStyle name="Œ…‹æØ‚è_# of Branches '98 to '01" xfId="1398"/>
    <cellStyle name="onedec" xfId="1399"/>
    <cellStyle name="Option" xfId="1400"/>
    <cellStyle name="Option 2" xfId="1401"/>
    <cellStyle name="Option 3" xfId="1402"/>
    <cellStyle name="Option 4" xfId="1403"/>
    <cellStyle name="OptionHeading" xfId="1404"/>
    <cellStyle name="OptionHeading2" xfId="1405"/>
    <cellStyle name="Ordinary" xfId="1406"/>
    <cellStyle name="Ordinary 2" xfId="1407"/>
    <cellStyle name="Output 2" xfId="1408"/>
    <cellStyle name="Output 3" xfId="1409"/>
    <cellStyle name="Output 4" xfId="1410"/>
    <cellStyle name="Output Amounts" xfId="1411"/>
    <cellStyle name="Output Column Headings" xfId="1412"/>
    <cellStyle name="Output Line Items" xfId="1413"/>
    <cellStyle name="Output Report Heading" xfId="1414"/>
    <cellStyle name="Output Report Title" xfId="1415"/>
    <cellStyle name="Override" xfId="1416"/>
    <cellStyle name="Page Number" xfId="1417"/>
    <cellStyle name="Page Title" xfId="1418"/>
    <cellStyle name="per.style" xfId="1419"/>
    <cellStyle name="Percent (0)" xfId="1420"/>
    <cellStyle name="Percent [0]" xfId="1421"/>
    <cellStyle name="Percent [0] 2" xfId="1422"/>
    <cellStyle name="Percent [0] 3" xfId="1423"/>
    <cellStyle name="Percent [0] 4" xfId="1424"/>
    <cellStyle name="Percent [00]" xfId="1425"/>
    <cellStyle name="Percent [00] 2" xfId="1426"/>
    <cellStyle name="Percent [00] 3" xfId="1427"/>
    <cellStyle name="Percent [00] 4" xfId="1428"/>
    <cellStyle name="Percent [1]" xfId="1429"/>
    <cellStyle name="Percent [2]" xfId="1430"/>
    <cellStyle name="Percent [2] 2" xfId="1431"/>
    <cellStyle name="Percent [2] 3" xfId="1432"/>
    <cellStyle name="Percent [2] 4" xfId="1433"/>
    <cellStyle name="Percent 10" xfId="1434"/>
    <cellStyle name="Percent 11" xfId="1435"/>
    <cellStyle name="Percent 12" xfId="1436"/>
    <cellStyle name="Percent 13" xfId="1437"/>
    <cellStyle name="Percent 14" xfId="1438"/>
    <cellStyle name="Percent 15" xfId="1439"/>
    <cellStyle name="Percent 16" xfId="1440"/>
    <cellStyle name="Percent 17" xfId="1441"/>
    <cellStyle name="Percent 18" xfId="1442"/>
    <cellStyle name="Percent 19" xfId="1443"/>
    <cellStyle name="Percent 2" xfId="1444"/>
    <cellStyle name="Percent 2 10" xfId="1445"/>
    <cellStyle name="Percent 2 2" xfId="1446"/>
    <cellStyle name="Percent 2 3" xfId="1447"/>
    <cellStyle name="Percent 2 4" xfId="1448"/>
    <cellStyle name="Percent 2 5" xfId="1449"/>
    <cellStyle name="Percent 20" xfId="1450"/>
    <cellStyle name="Percent 21" xfId="1451"/>
    <cellStyle name="Percent 22" xfId="1452"/>
    <cellStyle name="Percent 23" xfId="1453"/>
    <cellStyle name="Percent 24" xfId="1454"/>
    <cellStyle name="Percent 25" xfId="1455"/>
    <cellStyle name="Percent 26" xfId="1456"/>
    <cellStyle name="Percent 27" xfId="1884"/>
    <cellStyle name="Percent 28" xfId="1888"/>
    <cellStyle name="Percent 3" xfId="1457"/>
    <cellStyle name="Percent 3 2" xfId="1458"/>
    <cellStyle name="Percent 3 3" xfId="1985"/>
    <cellStyle name="Percent 4" xfId="1459"/>
    <cellStyle name="Percent 4 2" xfId="1460"/>
    <cellStyle name="Percent 5" xfId="1461"/>
    <cellStyle name="Percent 6" xfId="1462"/>
    <cellStyle name="Percent 7" xfId="1463"/>
    <cellStyle name="Percent 8" xfId="1464"/>
    <cellStyle name="Percent 9" xfId="1465"/>
    <cellStyle name="Percent Comma" xfId="1466"/>
    <cellStyle name="Percent*" xfId="1467"/>
    <cellStyle name="Percent1" xfId="1468"/>
    <cellStyle name="percentage" xfId="1469"/>
    <cellStyle name="PivotTable" xfId="1470"/>
    <cellStyle name="Porcentaje" xfId="1471"/>
    <cellStyle name="Porcentual_BASE" xfId="1472"/>
    <cellStyle name="PrePop Currency (0)" xfId="1473"/>
    <cellStyle name="PrePop Currency (0) 2" xfId="1474"/>
    <cellStyle name="PrePop Currency (0) 3" xfId="1475"/>
    <cellStyle name="PrePop Currency (0) 4" xfId="1476"/>
    <cellStyle name="PrePop Currency (2)" xfId="1477"/>
    <cellStyle name="PrePop Currency (2) 2" xfId="1478"/>
    <cellStyle name="PrePop Currency (2) 3" xfId="1479"/>
    <cellStyle name="PrePop Currency (2) 4" xfId="1480"/>
    <cellStyle name="PrePop Units (0)" xfId="1481"/>
    <cellStyle name="PrePop Units (0) 2" xfId="1482"/>
    <cellStyle name="PrePop Units (0) 3" xfId="1483"/>
    <cellStyle name="PrePop Units (0) 4" xfId="1484"/>
    <cellStyle name="PrePop Units (1)" xfId="1485"/>
    <cellStyle name="PrePop Units (1) 2" xfId="1486"/>
    <cellStyle name="PrePop Units (1) 3" xfId="1487"/>
    <cellStyle name="PrePop Units (1) 4" xfId="1488"/>
    <cellStyle name="PrePop Units (2)" xfId="1489"/>
    <cellStyle name="PrePop Units (2) 2" xfId="1490"/>
    <cellStyle name="PrePop Units (2) 3" xfId="1491"/>
    <cellStyle name="PrePop Units (2) 4" xfId="1492"/>
    <cellStyle name="Price" xfId="1493"/>
    <cellStyle name="Price 2" xfId="1494"/>
    <cellStyle name="ProductClass" xfId="1495"/>
    <cellStyle name="ProductType" xfId="1496"/>
    <cellStyle name="PSChar" xfId="1497"/>
    <cellStyle name="PSDate" xfId="1498"/>
    <cellStyle name="PSDec" xfId="1499"/>
    <cellStyle name="PSDetail" xfId="1500"/>
    <cellStyle name="PSHeading" xfId="1501"/>
    <cellStyle name="PSInt" xfId="1502"/>
    <cellStyle name="PSSpacer" xfId="1503"/>
    <cellStyle name="Punto0" xfId="1504"/>
    <cellStyle name="QR Total" xfId="1505"/>
    <cellStyle name="QUERY IT" xfId="1506"/>
    <cellStyle name="Rate" xfId="1507"/>
    <cellStyle name="Ratio" xfId="1508"/>
    <cellStyle name="Ratio Comma" xfId="1509"/>
    <cellStyle name="Ratio_bigtexmodel14" xfId="1510"/>
    <cellStyle name="RebateValue" xfId="1511"/>
    <cellStyle name="RebateValue 2" xfId="1512"/>
    <cellStyle name="red" xfId="1513"/>
    <cellStyle name="Red Text" xfId="1514"/>
    <cellStyle name="RedLessThanZero" xfId="1515"/>
    <cellStyle name="regstoresfromspecstores" xfId="1516"/>
    <cellStyle name="ResellerType" xfId="1517"/>
    <cellStyle name="Reset  - Style4" xfId="1518"/>
    <cellStyle name="Review_Normal" xfId="1519"/>
    <cellStyle name="RevList" xfId="1520"/>
    <cellStyle name="RevList 2" xfId="1986"/>
    <cellStyle name="RM" xfId="1521"/>
    <cellStyle name="RobModel" xfId="1522"/>
    <cellStyle name="rodape" xfId="1523"/>
    <cellStyle name="Rollover_Date" xfId="1524"/>
    <cellStyle name="Round Thousands" xfId="1525"/>
    <cellStyle name="s" xfId="1526"/>
    <cellStyle name="s_DCFLBO Code" xfId="1527"/>
    <cellStyle name="s_DCFLBO Code_1" xfId="1528"/>
    <cellStyle name="s_DCFLBO Code_1_SITE Debt" xfId="1529"/>
    <cellStyle name="s_DCFLBO Code_1_SITE Debt_Bonus Comparison Model 7-1-04v11" xfId="1530"/>
    <cellStyle name="s_DCFLBO Code_1_SITE Debt_ML_Nov_Flash_By Entity_2" xfId="1531"/>
    <cellStyle name="s_DCFLBO Code_1_SITE Debt_ML_Nov_Flash_By Entity_2_December Bonus Model" xfId="1532"/>
    <cellStyle name="s_DCFLBO Code_1_SITE Debt_ML_Nov_Flash_By Entity_2_December Bonus Model fay" xfId="1533"/>
    <cellStyle name="s_DCFLBO Code_1_SITE Debt_ML_Nov_Flash_By Entity_2_ML_Dec_Flash" xfId="1534"/>
    <cellStyle name="s_DCFLBO Code_1_SITE Debt_ML_Nov_Flash_By Entity_2_new bonus methodology to ed" xfId="1535"/>
    <cellStyle name="s_DCFLBO Code_1_SITE Debt_ML_Nov_Flash_By Entity_2_Nov BS accruals - bonus" xfId="1536"/>
    <cellStyle name="s_DCFLBO Code_1_Working Liquidity" xfId="1537"/>
    <cellStyle name="s_DCFLBO Code_1_Working Liquidity_Bonus Comparison Model 7-1-04v11" xfId="1538"/>
    <cellStyle name="s_DCFLBO Code_1_Working Liquidity_ML_Nov_Flash_By Entity_2" xfId="1539"/>
    <cellStyle name="s_DCFLBO Code_1_Working Liquidity_ML_Nov_Flash_By Entity_2_December Bonus Model" xfId="1540"/>
    <cellStyle name="s_DCFLBO Code_1_Working Liquidity_ML_Nov_Flash_By Entity_2_December Bonus Model fay" xfId="1541"/>
    <cellStyle name="s_DCFLBO Code_1_Working Liquidity_ML_Nov_Flash_By Entity_2_ML_Dec_Flash" xfId="1542"/>
    <cellStyle name="s_DCFLBO Code_1_Working Liquidity_ML_Nov_Flash_By Entity_2_new bonus methodology to ed" xfId="1543"/>
    <cellStyle name="s_DCFLBO Code_1_Working Liquidity_ML_Nov_Flash_By Entity_2_Nov BS accruals - bonus" xfId="1544"/>
    <cellStyle name="s_DCFLBO Code_DCF3" xfId="1545"/>
    <cellStyle name="s_DCFLBO Code_DCF3_SITE Debt" xfId="1546"/>
    <cellStyle name="s_DCFLBO Code_DCF3_SITE Debt_Bonus Comparison Model 7-1-04v11" xfId="1547"/>
    <cellStyle name="s_DCFLBO Code_DCF3_SITE Debt_ML_Nov_Flash_By Entity_2" xfId="1548"/>
    <cellStyle name="s_DCFLBO Code_DCF3_SITE Debt_ML_Nov_Flash_By Entity_2_December Bonus Model" xfId="1549"/>
    <cellStyle name="s_DCFLBO Code_DCF3_SITE Debt_ML_Nov_Flash_By Entity_2_December Bonus Model fay" xfId="1550"/>
    <cellStyle name="s_DCFLBO Code_DCF3_SITE Debt_ML_Nov_Flash_By Entity_2_ML_Dec_Flash" xfId="1551"/>
    <cellStyle name="s_DCFLBO Code_DCF3_SITE Debt_ML_Nov_Flash_By Entity_2_new bonus methodology to ed" xfId="1552"/>
    <cellStyle name="s_DCFLBO Code_DCF3_SITE Debt_ML_Nov_Flash_By Entity_2_Nov BS accruals - bonus" xfId="1553"/>
    <cellStyle name="s_DCFLBO Code_DCF3_Working Liquidity" xfId="1554"/>
    <cellStyle name="s_DCFLBO Code_DCF3_Working Liquidity_Bonus Comparison Model 7-1-04v11" xfId="1555"/>
    <cellStyle name="s_DCFLBO Code_DCF3_Working Liquidity_ML_Nov_Flash_By Entity_2" xfId="1556"/>
    <cellStyle name="s_DCFLBO Code_DCF3_Working Liquidity_ML_Nov_Flash_By Entity_2_December Bonus Model" xfId="1557"/>
    <cellStyle name="s_DCFLBO Code_DCF3_Working Liquidity_ML_Nov_Flash_By Entity_2_December Bonus Model fay" xfId="1558"/>
    <cellStyle name="s_DCFLBO Code_DCF3_Working Liquidity_ML_Nov_Flash_By Entity_2_ML_Dec_Flash" xfId="1559"/>
    <cellStyle name="s_DCFLBO Code_DCF3_Working Liquidity_ML_Nov_Flash_By Entity_2_new bonus methodology to ed" xfId="1560"/>
    <cellStyle name="s_DCFLBO Code_DCF3_Working Liquidity_ML_Nov_Flash_By Entity_2_Nov BS accruals - bonus" xfId="1561"/>
    <cellStyle name="s_DCFLBO Code_SITE Debt" xfId="1562"/>
    <cellStyle name="s_DCFLBO Code_SITE Debt_Bonus Comparison Model 7-1-04v11" xfId="1563"/>
    <cellStyle name="s_DCFLBO Code_SITE Debt_ML_Nov_Flash_By Entity_2" xfId="1564"/>
    <cellStyle name="s_DCFLBO Code_SITE Debt_ML_Nov_Flash_By Entity_2_December Bonus Model" xfId="1565"/>
    <cellStyle name="s_DCFLBO Code_SITE Debt_ML_Nov_Flash_By Entity_2_December Bonus Model fay" xfId="1566"/>
    <cellStyle name="s_DCFLBO Code_SITE Debt_ML_Nov_Flash_By Entity_2_ML_Dec_Flash" xfId="1567"/>
    <cellStyle name="s_DCFLBO Code_SITE Debt_ML_Nov_Flash_By Entity_2_new bonus methodology to ed" xfId="1568"/>
    <cellStyle name="s_DCFLBO Code_SITE Debt_ML_Nov_Flash_By Entity_2_Nov BS accruals - bonus" xfId="1569"/>
    <cellStyle name="s_DCFLBO Code_Working Liquidity" xfId="1570"/>
    <cellStyle name="s_DCFLBO Code_Working Liquidity_Bonus Comparison Model 7-1-04v11" xfId="1571"/>
    <cellStyle name="s_DCFLBO Code_Working Liquidity_ML_Nov_Flash_By Entity_2" xfId="1572"/>
    <cellStyle name="s_DCFLBO Code_Working Liquidity_ML_Nov_Flash_By Entity_2_December Bonus Model" xfId="1573"/>
    <cellStyle name="s_DCFLBO Code_Working Liquidity_ML_Nov_Flash_By Entity_2_December Bonus Model fay" xfId="1574"/>
    <cellStyle name="s_DCFLBO Code_Working Liquidity_ML_Nov_Flash_By Entity_2_ML_Dec_Flash" xfId="1575"/>
    <cellStyle name="s_DCFLBO Code_Working Liquidity_ML_Nov_Flash_By Entity_2_new bonus methodology to ed" xfId="1576"/>
    <cellStyle name="s_DCFLBO Code_Working Liquidity_ML_Nov_Flash_By Entity_2_Nov BS accruals - bonus" xfId="1577"/>
    <cellStyle name="s_HardInc " xfId="1578"/>
    <cellStyle name="s_HardInc _Bonus Comparison Model 7-1-04v11" xfId="1579"/>
    <cellStyle name="s_HardInc _ML_Nov_Flash_By Entity_2" xfId="1580"/>
    <cellStyle name="s_HardInc _ML_Nov_Flash_By Entity_2_December Bonus Model" xfId="1581"/>
    <cellStyle name="s_HardInc _ML_Nov_Flash_By Entity_2_December Bonus Model fay" xfId="1582"/>
    <cellStyle name="s_HardInc _ML_Nov_Flash_By Entity_2_ML_Dec_Flash" xfId="1583"/>
    <cellStyle name="s_HardInc _ML_Nov_Flash_By Entity_2_new bonus methodology to ed" xfId="1584"/>
    <cellStyle name="s_HardInc _ML_Nov_Flash_By Entity_2_Nov BS accruals - bonus" xfId="1585"/>
    <cellStyle name="s_SITE Debt" xfId="1586"/>
    <cellStyle name="s_SITE Debt_Bonus Comparison Model 7-1-04v11" xfId="1587"/>
    <cellStyle name="s_SITE Debt_ML_Nov_Flash_By Entity_2" xfId="1588"/>
    <cellStyle name="s_SITE Debt_ML_Nov_Flash_By Entity_2_December Bonus Model" xfId="1589"/>
    <cellStyle name="s_SITE Debt_ML_Nov_Flash_By Entity_2_December Bonus Model fay" xfId="1590"/>
    <cellStyle name="s_SITE Debt_ML_Nov_Flash_By Entity_2_ML_Dec_Flash" xfId="1591"/>
    <cellStyle name="s_SITE Debt_ML_Nov_Flash_By Entity_2_new bonus methodology to ed" xfId="1592"/>
    <cellStyle name="s_SITE Debt_ML_Nov_Flash_By Entity_2_Nov BS accruals - bonus" xfId="1593"/>
    <cellStyle name="s_Working Liquidity" xfId="1594"/>
    <cellStyle name="s_Working Liquidity_Bonus Comparison Model 7-1-04v11" xfId="1595"/>
    <cellStyle name="s_Working Liquidity_ML_Nov_Flash_By Entity_2" xfId="1596"/>
    <cellStyle name="s_Working Liquidity_ML_Nov_Flash_By Entity_2_December Bonus Model" xfId="1597"/>
    <cellStyle name="s_Working Liquidity_ML_Nov_Flash_By Entity_2_December Bonus Model fay" xfId="1598"/>
    <cellStyle name="s_Working Liquidity_ML_Nov_Flash_By Entity_2_ML_Dec_Flash" xfId="1599"/>
    <cellStyle name="s_Working Liquidity_ML_Nov_Flash_By Entity_2_new bonus methodology to ed" xfId="1600"/>
    <cellStyle name="s_Working Liquidity_ML_Nov_Flash_By Entity_2_Nov BS accruals - bonus" xfId="1601"/>
    <cellStyle name="Salomon Logo" xfId="1602"/>
    <cellStyle name="Sample" xfId="1603"/>
    <cellStyle name="Section" xfId="1604"/>
    <cellStyle name="SectionHeaderNormal" xfId="1605"/>
    <cellStyle name="SelectFormat" xfId="1606"/>
    <cellStyle name="SelectFormat 2" xfId="1607"/>
    <cellStyle name="SelectFormat 3" xfId="1608"/>
    <cellStyle name="SelectFormat 4" xfId="1609"/>
    <cellStyle name="Sep. milhar [0]" xfId="1610"/>
    <cellStyle name="Separador de milhares [0]_2 backup" xfId="1611"/>
    <cellStyle name="Separador de milhares_2 backup" xfId="1612"/>
    <cellStyle name="SHADEDSTORES" xfId="1613"/>
    <cellStyle name="Shading" xfId="1614"/>
    <cellStyle name="SHEET2!Normal" xfId="1615"/>
    <cellStyle name="Single Decimal and Commas" xfId="1616"/>
    <cellStyle name="Size" xfId="1617"/>
    <cellStyle name="Special" xfId="1618"/>
    <cellStyle name="specstores" xfId="1619"/>
    <cellStyle name="Standaard_Blad52" xfId="1620"/>
    <cellStyle name="Standard__Utopia Index Index und Guidance (Deutsch)" xfId="1621"/>
    <cellStyle name="Stock Comma" xfId="1622"/>
    <cellStyle name="Stock Price" xfId="1623"/>
    <cellStyle name="Style 1" xfId="1"/>
    <cellStyle name="Style 1 2" xfId="1987"/>
    <cellStyle name="Style 1 3" xfId="2064"/>
    <cellStyle name="Style 1 4" xfId="1624"/>
    <cellStyle name="Style 2" xfId="1625"/>
    <cellStyle name="Style 2 2" xfId="1626"/>
    <cellStyle name="Style 21" xfId="1627"/>
    <cellStyle name="Style 21 2" xfId="1628"/>
    <cellStyle name="Style 21 3" xfId="1629"/>
    <cellStyle name="Style 21 4" xfId="1630"/>
    <cellStyle name="Style 22" xfId="1631"/>
    <cellStyle name="Style 23" xfId="1632"/>
    <cellStyle name="Style 24" xfId="1633"/>
    <cellStyle name="Style 25" xfId="1634"/>
    <cellStyle name="Style 26" xfId="1635"/>
    <cellStyle name="Style 27" xfId="1636"/>
    <cellStyle name="Style 28" xfId="1637"/>
    <cellStyle name="Style 28 2" xfId="1638"/>
    <cellStyle name="Style 28 3" xfId="1639"/>
    <cellStyle name="Style 28 4" xfId="1640"/>
    <cellStyle name="Style 29" xfId="1641"/>
    <cellStyle name="Style 3" xfId="1642"/>
    <cellStyle name="Style 30" xfId="1643"/>
    <cellStyle name="Style 31" xfId="1644"/>
    <cellStyle name="Style 32" xfId="1645"/>
    <cellStyle name="Style 33" xfId="1646"/>
    <cellStyle name="Style 34" xfId="1647"/>
    <cellStyle name="Style 35" xfId="1648"/>
    <cellStyle name="Style 36" xfId="1649"/>
    <cellStyle name="Style 37" xfId="1650"/>
    <cellStyle name="Style 38" xfId="1651"/>
    <cellStyle name="Style 39" xfId="1652"/>
    <cellStyle name="Style 4" xfId="1653"/>
    <cellStyle name="Style 40" xfId="1654"/>
    <cellStyle name="Style 41" xfId="1655"/>
    <cellStyle name="Style 41 2" xfId="1656"/>
    <cellStyle name="Style 41 3" xfId="1657"/>
    <cellStyle name="Style 41 4" xfId="1658"/>
    <cellStyle name="Style 42" xfId="1659"/>
    <cellStyle name="Style 43" xfId="1660"/>
    <cellStyle name="Style 44" xfId="1661"/>
    <cellStyle name="Style 45" xfId="1662"/>
    <cellStyle name="Style 46" xfId="1663"/>
    <cellStyle name="Style 47" xfId="1664"/>
    <cellStyle name="Style 47 2" xfId="1665"/>
    <cellStyle name="Style 47 3" xfId="1666"/>
    <cellStyle name="Style 47 4" xfId="1667"/>
    <cellStyle name="Style 48" xfId="1668"/>
    <cellStyle name="Style 49" xfId="1669"/>
    <cellStyle name="Style 5" xfId="1670"/>
    <cellStyle name="Style 50" xfId="1671"/>
    <cellStyle name="Style 51" xfId="1672"/>
    <cellStyle name="Style 52" xfId="1673"/>
    <cellStyle name="Style 53" xfId="1674"/>
    <cellStyle name="Style 54" xfId="1675"/>
    <cellStyle name="Style 55" xfId="1676"/>
    <cellStyle name="Style 56" xfId="1677"/>
    <cellStyle name="Style 57" xfId="1678"/>
    <cellStyle name="Style 58" xfId="1679"/>
    <cellStyle name="Style 59" xfId="1680"/>
    <cellStyle name="Style 60" xfId="1681"/>
    <cellStyle name="Style 61" xfId="1682"/>
    <cellStyle name="Style 62" xfId="1683"/>
    <cellStyle name="Style 63" xfId="1684"/>
    <cellStyle name="Style 64" xfId="1685"/>
    <cellStyle name="Style 65" xfId="1686"/>
    <cellStyle name="Style 66" xfId="1687"/>
    <cellStyle name="Style 67" xfId="1688"/>
    <cellStyle name="Style 68" xfId="1689"/>
    <cellStyle name="Style 69" xfId="1690"/>
    <cellStyle name="Style 70" xfId="1691"/>
    <cellStyle name="Style 71" xfId="1692"/>
    <cellStyle name="Style 72" xfId="1693"/>
    <cellStyle name="Style 73" xfId="1694"/>
    <cellStyle name="Style 74" xfId="1695"/>
    <cellStyle name="Style 75" xfId="1696"/>
    <cellStyle name="Style 76" xfId="1697"/>
    <cellStyle name="Style 77" xfId="1698"/>
    <cellStyle name="Style 78" xfId="1699"/>
    <cellStyle name="Style 79" xfId="1700"/>
    <cellStyle name="Style 80" xfId="1701"/>
    <cellStyle name="Style 81" xfId="1702"/>
    <cellStyle name="Style 82" xfId="1703"/>
    <cellStyle name="Style 83" xfId="1704"/>
    <cellStyle name="Style 84" xfId="1705"/>
    <cellStyle name="Style 85" xfId="1706"/>
    <cellStyle name="Style 86" xfId="1707"/>
    <cellStyle name="Style 87" xfId="1708"/>
    <cellStyle name="Style 88" xfId="1709"/>
    <cellStyle name="Style 89" xfId="1710"/>
    <cellStyle name="Style 90" xfId="1711"/>
    <cellStyle name="Style 91" xfId="1712"/>
    <cellStyle name="Style 92" xfId="1713"/>
    <cellStyle name="Style 93" xfId="1714"/>
    <cellStyle name="Style 94" xfId="1715"/>
    <cellStyle name="Style 95" xfId="1716"/>
    <cellStyle name="Style 96" xfId="1717"/>
    <cellStyle name="Style 97" xfId="1718"/>
    <cellStyle name="STYLE1" xfId="1719"/>
    <cellStyle name="STYLE2" xfId="1720"/>
    <cellStyle name="STYLE3" xfId="1721"/>
    <cellStyle name="STYLE4" xfId="1722"/>
    <cellStyle name="STYLE5" xfId="1723"/>
    <cellStyle name="STYLE6" xfId="1724"/>
    <cellStyle name="STYLE7" xfId="1725"/>
    <cellStyle name="styleDEnormalgray" xfId="1726"/>
    <cellStyle name="Styles" xfId="1727"/>
    <cellStyle name="styTitle1" xfId="1728"/>
    <cellStyle name="styTitle2" xfId="1729"/>
    <cellStyle name="subhead" xfId="1730"/>
    <cellStyle name="SubScript" xfId="1731"/>
    <cellStyle name="Subtotal" xfId="1732"/>
    <cellStyle name="Subtotal 2" xfId="1988"/>
    <cellStyle name="SumRep" xfId="1733"/>
    <cellStyle name="SuperScript" xfId="1734"/>
    <cellStyle name="t" xfId="1735"/>
    <cellStyle name="Table  - Style5" xfId="1736"/>
    <cellStyle name="Table Head" xfId="1737"/>
    <cellStyle name="Table Head Aligned" xfId="1738"/>
    <cellStyle name="Table Head Blue" xfId="1739"/>
    <cellStyle name="Table Head Green" xfId="1740"/>
    <cellStyle name="Table Head_% Change" xfId="1741"/>
    <cellStyle name="Table Heading" xfId="1742"/>
    <cellStyle name="Table Source" xfId="1743"/>
    <cellStyle name="Table Sub Head" xfId="1744"/>
    <cellStyle name="Table Text" xfId="1745"/>
    <cellStyle name="Table Title" xfId="1746"/>
    <cellStyle name="Table Units" xfId="1747"/>
    <cellStyle name="Table_Header" xfId="1748"/>
    <cellStyle name="Term" xfId="1749"/>
    <cellStyle name="Term 2" xfId="1750"/>
    <cellStyle name="Test" xfId="1751"/>
    <cellStyle name="Text" xfId="1752"/>
    <cellStyle name="Text 1" xfId="1753"/>
    <cellStyle name="Text 2" xfId="1754"/>
    <cellStyle name="Text Head" xfId="1755"/>
    <cellStyle name="Text Head 1" xfId="1756"/>
    <cellStyle name="Text Head 2" xfId="1757"/>
    <cellStyle name="Text Head_M&amp;A Page" xfId="1758"/>
    <cellStyle name="Text Indent 1" xfId="1759"/>
    <cellStyle name="Text Indent 2" xfId="1760"/>
    <cellStyle name="Text Indent A" xfId="1761"/>
    <cellStyle name="Text Indent B" xfId="1762"/>
    <cellStyle name="Text Indent B 2" xfId="1763"/>
    <cellStyle name="Text Indent B 3" xfId="1764"/>
    <cellStyle name="Text Indent B 4" xfId="1765"/>
    <cellStyle name="Text Indent C" xfId="1766"/>
    <cellStyle name="Text Indent C 2" xfId="1767"/>
    <cellStyle name="Text Indent C 3" xfId="1768"/>
    <cellStyle name="Text Indent C 4" xfId="1769"/>
    <cellStyle name="Text_BMG 31" xfId="1770"/>
    <cellStyle name="TextBold" xfId="1771"/>
    <cellStyle name="TextItalic" xfId="1772"/>
    <cellStyle name="TextNormal" xfId="1773"/>
    <cellStyle name="þ_x001d_ð·!–ý·&amp;FýU_x0001_Â_x0005_[_x0007__x0007__x0001__x0001_" xfId="1774"/>
    <cellStyle name="þ_x001d_ð·!–ý·&amp;FýU_x0001_Â_x0005_[_x0007__x0007__x0001__x0001_ 2" xfId="1775"/>
    <cellStyle name="Tickmark" xfId="1776"/>
    <cellStyle name="Times 12" xfId="1777"/>
    <cellStyle name="Tina" xfId="1778"/>
    <cellStyle name="Title  - Style6" xfId="1779"/>
    <cellStyle name="Title - PROJECT" xfId="1780"/>
    <cellStyle name="Title - Underline" xfId="1781"/>
    <cellStyle name="Title 10" xfId="1782"/>
    <cellStyle name="Title 11" xfId="1783"/>
    <cellStyle name="Title 12" xfId="1784"/>
    <cellStyle name="Title 13" xfId="1785"/>
    <cellStyle name="Title 14" xfId="1786"/>
    <cellStyle name="Title 15" xfId="1787"/>
    <cellStyle name="Title 16" xfId="1788"/>
    <cellStyle name="Title 17" xfId="1789"/>
    <cellStyle name="Title 18" xfId="1790"/>
    <cellStyle name="Title 19" xfId="1791"/>
    <cellStyle name="Title 2" xfId="1792"/>
    <cellStyle name="Title 3" xfId="1793"/>
    <cellStyle name="Title 4" xfId="1794"/>
    <cellStyle name="Title 5" xfId="1795"/>
    <cellStyle name="Title 6" xfId="1796"/>
    <cellStyle name="Title 7" xfId="1797"/>
    <cellStyle name="Title 8" xfId="1798"/>
    <cellStyle name="Title 9" xfId="1799"/>
    <cellStyle name="TitleBar" xfId="1800"/>
    <cellStyle name="TitleNormal" xfId="1801"/>
    <cellStyle name="Titles - Col. Headings" xfId="1802"/>
    <cellStyle name="Titles - Other" xfId="1803"/>
    <cellStyle name="Titulo" xfId="1804"/>
    <cellStyle name="Título 1" xfId="1805"/>
    <cellStyle name="Título 2" xfId="1806"/>
    <cellStyle name="TOC 1" xfId="1807"/>
    <cellStyle name="TOC 2" xfId="1808"/>
    <cellStyle name="Top Edge" xfId="1809"/>
    <cellStyle name="Total 2" xfId="1810"/>
    <cellStyle name="Total 3" xfId="1811"/>
    <cellStyle name="Total 4" xfId="1812"/>
    <cellStyle name="Total Currency" xfId="1813"/>
    <cellStyle name="Total Normal" xfId="1814"/>
    <cellStyle name="total$" xfId="1815"/>
    <cellStyle name="Total1 - Style1" xfId="1816"/>
    <cellStyle name="TotalCurrency" xfId="1817"/>
    <cellStyle name="TotCol - Style7" xfId="1818"/>
    <cellStyle name="TotRow - Style8" xfId="1819"/>
    <cellStyle name="TypeNote" xfId="1820"/>
    <cellStyle name="TypeNote 2" xfId="1821"/>
    <cellStyle name="ubordinated Debt" xfId="1822"/>
    <cellStyle name="Underline_Double" xfId="1823"/>
    <cellStyle name="Unit" xfId="1824"/>
    <cellStyle name="Unit 2" xfId="1825"/>
    <cellStyle name="UnitOfMeasure" xfId="1826"/>
    <cellStyle name="UnitOfMeasure 2" xfId="1827"/>
    <cellStyle name="Validation" xfId="1828"/>
    <cellStyle name="Value" xfId="1829"/>
    <cellStyle name="Value 2" xfId="1830"/>
    <cellStyle name="Value 3" xfId="1831"/>
    <cellStyle name="Value 4" xfId="1832"/>
    <cellStyle name="Vertical" xfId="1833"/>
    <cellStyle name="Walutowy [0]_Arkusz1" xfId="1834"/>
    <cellStyle name="Walutowy_Arkusz1" xfId="1835"/>
    <cellStyle name="Warning Text 2" xfId="1836"/>
    <cellStyle name="Warning Text 3" xfId="1837"/>
    <cellStyle name="Warning Text 4" xfId="1838"/>
    <cellStyle name="WhiteCells" xfId="1839"/>
    <cellStyle name="WingDing" xfId="1840"/>
    <cellStyle name="Workpaper_Title" xfId="1841"/>
    <cellStyle name="year" xfId="1842"/>
    <cellStyle name="Yellow" xfId="1843"/>
    <cellStyle name="เชื่อมโยงหลายมิติ_DC by CC sample" xfId="1844"/>
    <cellStyle name="ค@ฏ๋_pldt" xfId="1845"/>
    <cellStyle name="ตามการเชื่อมโยงหลายมิติ_DC by CC sample" xfId="1846"/>
    <cellStyle name="ปกติ_Soccard" xfId="1847"/>
    <cellStyle name="_x0001_ဠ" xfId="1848"/>
    <cellStyle name="_x001c__x0001__x0001__x0010__x0001_ဠ" xfId="1849"/>
    <cellStyle name="강조색1" xfId="1989"/>
    <cellStyle name="강조색2" xfId="1990"/>
    <cellStyle name="강조색3" xfId="1991"/>
    <cellStyle name="강조색4" xfId="1992"/>
    <cellStyle name="강조색5" xfId="1993"/>
    <cellStyle name="강조색6" xfId="1994"/>
    <cellStyle name="경고문" xfId="1995"/>
    <cellStyle name="계산" xfId="1996"/>
    <cellStyle name="나쁨" xfId="1997"/>
    <cellStyle name="뒤에 오는 하이퍼링크_Input template" xfId="1850"/>
    <cellStyle name="메모" xfId="1998"/>
    <cellStyle name="백분율_Sheet13" xfId="1851"/>
    <cellStyle name="보통" xfId="1999"/>
    <cellStyle name="뷭?_BOOKSHIP" xfId="1852"/>
    <cellStyle name="설명 텍스트" xfId="2000"/>
    <cellStyle name="셀 확인" xfId="2001"/>
    <cellStyle name="쉼표 [0] 2" xfId="2002"/>
    <cellStyle name="쉼표 [0] 2 2" xfId="2003"/>
    <cellStyle name="쉼표 [0] 2 3" xfId="2004"/>
    <cellStyle name="쉼표 [0] 2 4" xfId="2005"/>
    <cellStyle name="쉼표 [0] 3" xfId="2006"/>
    <cellStyle name="쉼표 [0] 4" xfId="2007"/>
    <cellStyle name="쉼표 [0]_eloan_FP_01182002" xfId="1853"/>
    <cellStyle name="쉼표_BC_G" xfId="1854"/>
    <cellStyle name="연결된 셀" xfId="2008"/>
    <cellStyle name="요약" xfId="2009"/>
    <cellStyle name="입력" xfId="2010"/>
    <cellStyle name="제목" xfId="2011"/>
    <cellStyle name="제목 1" xfId="2012"/>
    <cellStyle name="제목 2" xfId="2013"/>
    <cellStyle name="제목 3" xfId="2014"/>
    <cellStyle name="제목 4" xfId="2015"/>
    <cellStyle name="좋음" xfId="2016"/>
    <cellStyle name="출력" xfId="2017"/>
    <cellStyle name="콤마 [0]_0601" xfId="1855"/>
    <cellStyle name="콤마_0601" xfId="1856"/>
    <cellStyle name="통화 [0]_97MBO" xfId="1857"/>
    <cellStyle name="통화_97MBO" xfId="1858"/>
    <cellStyle name="표준 2" xfId="2018"/>
    <cellStyle name="표준 2 2" xfId="2019"/>
    <cellStyle name="표준 2 3" xfId="2020"/>
    <cellStyle name="표준 2 4" xfId="2021"/>
    <cellStyle name="표준 3" xfId="2022"/>
    <cellStyle name="표준 4" xfId="2023"/>
    <cellStyle name="표준_1_나(재무제표)" xfId="1859"/>
    <cellStyle name="一般_1998" xfId="1860"/>
    <cellStyle name="千分位[0]_0719NORA" xfId="1861"/>
    <cellStyle name="千分位_0719NORA" xfId="1862"/>
    <cellStyle name="常规_99 PM_M (Closing) 28-02-1999" xfId="1863"/>
    <cellStyle name="未定義" xfId="1864"/>
    <cellStyle name="桁区切り [0.00]_~dd1BD" xfId="1865"/>
    <cellStyle name="桁区切り_~dd1BD" xfId="1866"/>
    <cellStyle name="標準_0008011" xfId="1867"/>
    <cellStyle name="表示済みのハイパーリンク_Tennozu Square Footage (Jul 02) rvd" xfId="1868"/>
    <cellStyle name="貨幣 [0]_0719NORA" xfId="1869"/>
    <cellStyle name="貨幣[0]_1997-98 BK" xfId="1870"/>
    <cellStyle name="貨幣_0719NORA" xfId="1871"/>
    <cellStyle name="超連結_2001 asset main file 0507" xfId="1872"/>
    <cellStyle name="通貨 [0.00]_~dd1BD" xfId="1873"/>
    <cellStyle name="通貨_~dd1BD" xfId="1874"/>
    <cellStyle name="隨後的超連結_2001 asset main file 0507" xfId="1875"/>
  </cellStyles>
  <dxfs count="370">
    <dxf>
      <fill>
        <patternFill>
          <bgColor rgb="FFC4BA97"/>
        </patternFill>
      </fill>
    </dxf>
    <dxf>
      <fill>
        <patternFill>
          <bgColor rgb="FFC4BA97"/>
        </patternFill>
      </fill>
    </dxf>
    <dxf>
      <fill>
        <patternFill>
          <bgColor rgb="FFDDDB95"/>
        </patternFill>
      </fill>
    </dxf>
    <dxf>
      <fill>
        <patternFill>
          <bgColor rgb="FFD1C2DA"/>
        </patternFill>
      </fill>
    </dxf>
    <dxf>
      <fill>
        <patternFill>
          <bgColor rgb="FFFCD5B4"/>
        </patternFill>
      </fill>
    </dxf>
    <dxf>
      <fill>
        <patternFill>
          <bgColor rgb="FFE9B3E6"/>
        </patternFill>
      </fill>
    </dxf>
    <dxf>
      <fill>
        <patternFill>
          <bgColor rgb="FFE6B8B7"/>
        </patternFill>
      </fill>
    </dxf>
    <dxf>
      <fill>
        <patternFill>
          <bgColor rgb="FFB7DEE8"/>
        </patternFill>
      </fill>
    </dxf>
    <dxf>
      <fill>
        <patternFill>
          <bgColor rgb="FFC5D9F1"/>
        </patternFill>
      </fill>
    </dxf>
    <dxf>
      <fill>
        <patternFill>
          <bgColor rgb="FFCCC0DA"/>
        </patternFill>
      </fill>
    </dxf>
    <dxf>
      <fill>
        <patternFill>
          <bgColor rgb="FFD9D9D9"/>
        </patternFill>
      </fill>
    </dxf>
    <dxf>
      <fill>
        <patternFill>
          <bgColor rgb="FF9FE4FD"/>
        </patternFill>
      </fill>
    </dxf>
    <dxf>
      <fill>
        <patternFill>
          <bgColor rgb="FFD8E4BC"/>
        </patternFill>
      </fill>
    </dxf>
    <dxf>
      <fill>
        <patternFill>
          <bgColor rgb="FFC9E8B4"/>
        </patternFill>
      </fill>
    </dxf>
    <dxf>
      <fill>
        <patternFill>
          <bgColor rgb="FFCCDBC1"/>
        </patternFill>
      </fill>
    </dxf>
    <dxf>
      <fill>
        <patternFill>
          <bgColor rgb="FFFFC000"/>
        </patternFill>
      </fill>
    </dxf>
    <dxf>
      <fill>
        <patternFill>
          <bgColor rgb="FFFFD653"/>
        </patternFill>
      </fill>
    </dxf>
    <dxf>
      <fill>
        <patternFill patternType="mediumGray"/>
      </fill>
    </dxf>
    <dxf>
      <fill>
        <patternFill patternType="mediumGray"/>
      </fill>
    </dxf>
    <dxf>
      <fill>
        <patternFill patternType="mediumGray"/>
      </fill>
    </dxf>
    <dxf>
      <fill>
        <patternFill patternType="mediumGray"/>
      </fill>
    </dxf>
    <dxf>
      <font>
        <b/>
        <i val="0"/>
        <color theme="5" tint="-0.499984740745262"/>
      </font>
      <fill>
        <patternFill>
          <fgColor indexed="64"/>
          <bgColor theme="5" tint="0.59996337778862885"/>
        </patternFill>
      </fill>
    </dxf>
    <dxf>
      <font>
        <b/>
        <i val="0"/>
        <color theme="5" tint="-0.499984740745262"/>
      </font>
      <fill>
        <patternFill>
          <fgColor indexed="64"/>
          <bgColor theme="5" tint="0.59996337778862885"/>
        </patternFill>
      </fill>
    </dxf>
    <dxf>
      <font>
        <b/>
        <i val="0"/>
      </font>
      <fill>
        <patternFill patternType="mediumGray"/>
      </fill>
    </dxf>
    <dxf>
      <font>
        <color theme="5" tint="-0.499984740745262"/>
      </font>
      <fill>
        <patternFill>
          <fgColor indexed="64"/>
          <bgColor theme="5" tint="0.59996337778862885"/>
        </patternFill>
      </fill>
    </dxf>
    <dxf>
      <fill>
        <patternFill patternType="mediumGray"/>
      </fill>
    </dxf>
    <dxf>
      <fill>
        <patternFill patternType="mediumGray"/>
      </fill>
    </dxf>
    <dxf>
      <fill>
        <patternFill>
          <bgColor rgb="FFDAEEF3"/>
        </patternFill>
      </fill>
    </dxf>
    <dxf>
      <fill>
        <patternFill>
          <bgColor rgb="FFB8CCE4"/>
        </patternFill>
      </fill>
    </dxf>
    <dxf>
      <fill>
        <patternFill>
          <bgColor rgb="FFFFFF00"/>
        </patternFill>
      </fill>
    </dxf>
    <dxf>
      <font>
        <b/>
        <i val="0"/>
        <color theme="5" tint="-0.24994659260841701"/>
      </font>
      <fill>
        <patternFill>
          <bgColor theme="5" tint="0.79998168889431442"/>
        </patternFill>
      </fill>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numFmt numFmtId="164" formatCode="&quot;$&quot;#,##0.00"/>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style="thin">
          <color indexed="64"/>
        </bottom>
      </border>
    </dxf>
    <dxf>
      <font>
        <b val="0"/>
        <i val="0"/>
        <strike val="0"/>
        <condense val="0"/>
        <extend val="0"/>
        <outline val="0"/>
        <shadow val="0"/>
        <u val="none"/>
        <vertAlign val="baseline"/>
        <sz val="8"/>
        <color auto="1"/>
        <name val="Calibri"/>
        <scheme val="none"/>
      </font>
      <numFmt numFmtId="164" formatCode="&quot;$&quot;#,##0.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34" formatCode="_(&quot;$&quot;* #,##0.00_);_(&quot;$&quot;* \(#,##0.00\);_(&quot;$&quot;* &quot;-&quot;??_);_(@_)"/>
      <fill>
        <patternFill patternType="solid">
          <fgColor indexed="64"/>
          <bgColor theme="2" tint="-9.9978637043366805E-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34" formatCode="_(&quot;$&quot;* #,##0.00_);_(&quot;$&quot;* \(#,##0.00\);_(&quot;$&quot;* &quot;-&quot;??_);_(@_)"/>
      <fill>
        <patternFill patternType="solid">
          <fgColor indexed="64"/>
          <bgColor theme="2" tint="-9.9978637043366805E-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34" formatCode="_(&quot;$&quot;* #,##0.00_);_(&quot;$&quot;* \(#,##0.00\);_(&quot;$&quot;* &quot;-&quot;??_);_(@_)"/>
      <fill>
        <patternFill patternType="solid">
          <fgColor indexed="64"/>
          <bgColor theme="5"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34" formatCode="_(&quot;$&quot;* #,##0.00_);_(&quot;$&quot;* \(#,##0.00\);_(&quot;$&quot;* &quot;-&quot;??_);_(@_)"/>
      <fill>
        <patternFill patternType="solid">
          <fgColor indexed="64"/>
          <bgColor theme="5"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34" formatCode="_(&quot;$&quot;* #,##0.00_);_(&quot;$&quot;* \(#,##0.00\);_(&quot;$&quot;* &quot;-&quot;??_);_(@_)"/>
      <fill>
        <patternFill patternType="solid">
          <fgColor indexed="64"/>
          <bgColor theme="5"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34" formatCode="_(&quot;$&quot;* #,##0.00_);_(&quot;$&quot;* \(#,##0.00\);_(&quot;$&quot;* &quot;-&quot;??_);_(@_)"/>
      <fill>
        <patternFill patternType="solid">
          <fgColor indexed="64"/>
          <bgColor theme="5" tint="0.59999389629810485"/>
        </patternFill>
      </fill>
      <alignment horizontal="center" vertical="center" textRotation="0" wrapText="0" relative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top style="medium">
          <color indexed="64"/>
        </top>
        <bottom/>
      </border>
    </dxf>
    <dxf>
      <font>
        <b val="0"/>
        <i val="0"/>
        <strike val="0"/>
        <condense val="0"/>
        <extend val="0"/>
        <outline val="0"/>
        <shadow val="0"/>
        <u val="none"/>
        <vertAlign val="baseline"/>
        <sz val="8"/>
        <color theme="1"/>
        <name val="Calibri"/>
        <scheme val="minor"/>
      </font>
      <numFmt numFmtId="164" formatCode="&quot;$&quot;#,##0.00"/>
      <fill>
        <patternFill patternType="solid">
          <fgColor indexed="64"/>
          <bgColor theme="9" tint="0.39997558519241921"/>
        </patternFill>
      </fill>
      <alignment horizontal="center" vertical="center" textRotation="0" wrapText="1" relativeIndent="0" justifyLastLine="0" shrinkToFit="0" readingOrder="0"/>
      <border diagonalUp="0" diagonalDown="0">
        <left style="thin">
          <color indexed="64"/>
        </left>
        <right/>
        <top style="thin">
          <color indexed="64"/>
        </top>
        <bottom/>
        <vertical/>
        <horizontal/>
      </border>
      <protection locked="1" hidden="0"/>
    </dxf>
    <dxf>
      <font>
        <b val="0"/>
        <i val="0"/>
        <strike val="0"/>
        <condense val="0"/>
        <extend val="0"/>
        <outline val="0"/>
        <shadow val="0"/>
        <u val="none"/>
        <vertAlign val="baseline"/>
        <sz val="11"/>
        <color auto="1"/>
        <name val="Calibri"/>
        <scheme val="minor"/>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val="0"/>
        <i val="0"/>
        <strike val="0"/>
        <condense val="0"/>
        <extend val="0"/>
        <outline val="0"/>
        <shadow val="0"/>
        <u val="none"/>
        <vertAlign val="baseline"/>
        <sz val="8"/>
        <color theme="1"/>
        <name val="Calibri"/>
        <scheme val="minor"/>
      </font>
      <numFmt numFmtId="164" formatCode="&quot;$&quot;#,##0.00"/>
      <fill>
        <patternFill patternType="solid">
          <fgColor indexed="64"/>
          <bgColor theme="9" tint="0.39997558519241921"/>
        </patternFill>
      </fill>
      <alignment horizontal="center" vertical="center" textRotation="0" wrapText="1" relativeIndent="0" justifyLastLine="0" shrinkToFit="0" readingOrder="0"/>
      <border diagonalUp="0" diagonalDown="0">
        <left style="medium">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5"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8"/>
        <color auto="1"/>
        <name val="Calibri"/>
        <scheme val="none"/>
      </font>
      <numFmt numFmtId="166" formatCode="0.0"/>
      <fill>
        <patternFill patternType="solid">
          <fgColor indexed="64"/>
          <bgColor theme="5" tint="0.39997558519241921"/>
        </patternFill>
      </fill>
      <alignment horizontal="center" vertical="center" textRotation="0" wrapText="0" relativeIndent="0" justifyLastLine="0" shrinkToFit="0" readingOrder="0"/>
      <border diagonalUp="0" diagonalDown="0">
        <left style="thin">
          <color indexed="64"/>
        </left>
        <right/>
        <top/>
        <bottom/>
        <vertical/>
        <horizontal/>
      </border>
      <protection locked="1" hidden="0"/>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318"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318"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 formatCode="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fill>
        <patternFill patternType="solid">
          <fgColor indexed="64"/>
          <bgColor theme="5"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5" tint="0.39997558519241921"/>
        </patternFill>
      </fill>
      <alignment horizontal="left" vertical="top" textRotation="0" wrapText="1" relativeIndent="0" justifyLastLine="0" shrinkToFit="0" readingOrder="0"/>
      <border diagonalUp="0" diagonalDown="0">
        <left/>
        <right style="thin">
          <color indexed="64"/>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left" vertical="top" textRotation="0" wrapText="0" relativeIndent="0" justifyLastLine="0" shrinkToFit="0" readingOrder="0"/>
      <border diagonalUp="0" diagonalDown="0">
        <left style="medium">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34" formatCode="_(&quot;$&quot;* #,##0.00_);_(&quot;$&quot;* \(#,##0.00\);_(&quot;$&quot;* &quot;-&quot;??_);_(@_)"/>
      <fill>
        <patternFill patternType="solid">
          <fgColor indexed="64"/>
          <bgColor theme="6" tint="0.399975585192419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protection locked="0" hidden="0"/>
    </dxf>
    <dxf>
      <font>
        <b/>
        <i val="0"/>
        <strike val="0"/>
        <condense val="0"/>
        <extend val="0"/>
        <outline val="0"/>
        <shadow val="0"/>
        <u val="none"/>
        <vertAlign val="baseline"/>
        <sz val="10"/>
        <color auto="1"/>
        <name val="Calibri"/>
        <scheme val="none"/>
      </font>
      <numFmt numFmtId="34" formatCode="_(&quot;$&quot;* #,##0.00_);_(&quot;$&quot;* \(#,##0.00\);_(&quot;$&quot;* &quot;-&quot;??_);_(@_)"/>
      <fill>
        <patternFill patternType="solid">
          <fgColor indexed="64"/>
          <bgColor rgb="FFFFFF00"/>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medium">
          <color indexed="64"/>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0" formatCode="General"/>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11"/>
        <color auto="1"/>
        <name val="Marlett"/>
        <scheme val="none"/>
      </font>
      <numFmt numFmtId="166" formatCode="0.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val="0"/>
        <i val="0"/>
        <strike val="0"/>
        <condense val="0"/>
        <extend val="0"/>
        <outline val="0"/>
        <shadow val="0"/>
        <u val="none"/>
        <vertAlign val="baseline"/>
        <sz val="11"/>
        <color auto="1"/>
        <name val="Marlett"/>
        <scheme val="none"/>
      </font>
      <numFmt numFmtId="166" formatCode="0.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medium">
          <color indexed="64"/>
        </right>
        <top style="thin">
          <color indexed="64"/>
        </top>
        <bottom style="thin">
          <color indexed="64"/>
        </bottom>
        <vertical/>
        <horizontal/>
      </border>
      <protection locked="1"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medium">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dxf>
    <dxf>
      <font>
        <b val="0"/>
        <i val="0"/>
        <strike val="0"/>
        <condense val="0"/>
        <extend val="0"/>
        <outline val="0"/>
        <shadow val="0"/>
        <u val="none"/>
        <vertAlign val="baseline"/>
        <sz val="8"/>
        <color auto="1"/>
        <name val="Calibri"/>
        <scheme val="none"/>
      </font>
      <numFmt numFmtId="0" formatCode="General"/>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protection locked="0"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0" formatCode="General"/>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protection locked="0" hidden="0"/>
    </dxf>
    <dxf>
      <font>
        <b val="0"/>
        <i val="0"/>
        <strike val="0"/>
        <condense val="0"/>
        <extend val="0"/>
        <outline val="0"/>
        <shadow val="0"/>
        <u val="none"/>
        <vertAlign val="baseline"/>
        <sz val="11"/>
        <color indexed="8"/>
        <name val="Calibri"/>
        <scheme val="none"/>
      </font>
      <numFmt numFmtId="166" formatCode="0.0"/>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0" tint="-0.14999847407452621"/>
        </patternFill>
      </fill>
      <alignment horizontal="center" vertical="center" textRotation="0" wrapText="0" relativeIndent="0" justifyLastLine="0" shrinkToFit="0" readingOrder="0"/>
      <border diagonalUp="0" diagonalDown="0">
        <left style="medium">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medium">
          <color auto="1"/>
        </right>
        <top style="medium">
          <color indexed="64"/>
        </top>
        <bottom/>
      </border>
    </dxf>
    <dxf>
      <font>
        <b/>
        <i val="0"/>
        <strike val="0"/>
        <condense val="0"/>
        <extend val="0"/>
        <outline val="0"/>
        <shadow val="0"/>
        <u val="none"/>
        <vertAlign val="baseline"/>
        <sz val="8"/>
        <color auto="1"/>
        <name val="Calibri"/>
        <scheme val="none"/>
      </font>
      <numFmt numFmtId="166" formatCode="0.0"/>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medium">
          <color indexed="64"/>
        </right>
        <top style="thin">
          <color indexed="64"/>
        </top>
        <bottom style="thin">
          <color indexed="64"/>
        </bottom>
        <vertical/>
        <horizontal/>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79998168889431442"/>
        </patternFill>
      </fill>
      <alignment horizontal="center" vertical="center" textRotation="0" wrapText="0" relativeIndent="0" justifyLastLine="0" shrinkToFit="0" readingOrder="0"/>
      <border diagonalUp="0" diagonalDown="0">
        <left/>
        <right/>
        <top style="thin">
          <color indexed="64"/>
        </top>
        <bottom style="thin">
          <color indexed="64"/>
        </bottom>
        <vertical/>
        <horizontal/>
      </border>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dxf>
    <dxf>
      <font>
        <b val="0"/>
        <i val="0"/>
        <strike val="0"/>
        <condense val="0"/>
        <extend val="0"/>
        <outline val="0"/>
        <shadow val="0"/>
        <u val="none"/>
        <vertAlign val="baseline"/>
        <sz val="8"/>
        <color auto="1"/>
        <name val="Calibri"/>
        <scheme val="none"/>
      </font>
      <numFmt numFmtId="1" formatCode="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0" formatCode="General"/>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0"/>
        <color auto="1"/>
        <name val="Calibri"/>
        <scheme val="none"/>
      </font>
      <numFmt numFmtId="336" formatCode="_(* #,##0_);_(* \(#,##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vertical/>
        <horizontal/>
      </border>
      <protection locked="0"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0" tint="-0.14999847407452621"/>
        </patternFill>
      </fill>
      <alignment horizontal="center" vertical="center" textRotation="0" wrapText="0" relativeIndent="0" justifyLastLine="0" shrinkToFit="0" readingOrder="0"/>
      <border diagonalUp="0" diagonalDown="0">
        <left style="medium">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0" formatCode="General"/>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Calibri"/>
        <scheme val="none"/>
      </font>
      <numFmt numFmtId="336" formatCode="_(* #,##0_);_(* \(#,##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0"/>
    </dxf>
    <dxf>
      <font>
        <b val="0"/>
        <i val="0"/>
        <strike val="0"/>
        <condense val="0"/>
        <extend val="0"/>
        <outline val="0"/>
        <shadow val="0"/>
        <u val="none"/>
        <vertAlign val="baseline"/>
        <sz val="8"/>
        <color auto="1"/>
        <name val="Calibri"/>
        <scheme val="none"/>
      </font>
      <numFmt numFmtId="1" formatCode="0"/>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numFmt numFmtId="35" formatCode="_(* #,##0.00_);_(* \(#,##0.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0" tint="-0.14999847407452621"/>
        </patternFill>
      </fill>
      <alignment horizontal="center" vertical="center" textRotation="0" wrapText="0" relativeIndent="0" justifyLastLine="0" shrinkToFit="0" readingOrder="0"/>
      <border diagonalUp="0" diagonalDown="0">
        <left style="medium">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9"/>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6" tint="0.79998168889431442"/>
        </patternFill>
      </fill>
      <alignment horizontal="center" vertical="center" textRotation="0" wrapText="0" relativeIndent="0" justifyLastLine="0" shrinkToFit="0" readingOrder="0"/>
      <border diagonalUp="0" diagonalDown="0">
        <left/>
        <right style="thin">
          <color indexed="64"/>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166" formatCode="0.0"/>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numFmt numFmtId="0" formatCode="General"/>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Calibri"/>
        <scheme val="none"/>
      </font>
      <numFmt numFmtId="167" formatCode="_(* #,##0.0_);_(* \(#,##0.0\);_(* &quot;-&quot;??_);_(@_)"/>
      <fill>
        <patternFill patternType="solid">
          <fgColor indexed="64"/>
          <bgColor theme="6" tint="0.39997558519241921"/>
        </patternFill>
      </fill>
      <alignment horizontal="center" vertical="center" textRotation="0" wrapText="0" indent="0" justifyLastLine="0" shrinkToFit="0" readingOrder="0"/>
      <border diagonalUp="0" diagonalDown="0" outline="0">
        <left style="medium">
          <color auto="1"/>
        </left>
        <right style="thin">
          <color indexed="64"/>
        </right>
        <top style="medium">
          <color indexed="64"/>
        </top>
        <bottom/>
      </border>
    </dxf>
    <dxf>
      <font>
        <b val="0"/>
        <i val="0"/>
        <strike val="0"/>
        <condense val="0"/>
        <extend val="0"/>
        <outline val="0"/>
        <shadow val="0"/>
        <u val="none"/>
        <vertAlign val="baseline"/>
        <sz val="11"/>
        <color auto="1"/>
        <name val="Marlett"/>
        <scheme val="none"/>
      </font>
      <numFmt numFmtId="166" formatCode="0.0"/>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0"/>
    </dxf>
    <dxf>
      <font>
        <b val="0"/>
        <i val="0"/>
        <strike val="0"/>
        <condense val="0"/>
        <extend val="0"/>
        <outline val="0"/>
        <shadow val="0"/>
        <u val="none"/>
        <vertAlign val="baseline"/>
        <sz val="11"/>
        <color auto="1"/>
        <name val="Marlett"/>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top style="medium">
          <color indexed="64"/>
        </top>
        <bottom/>
      </border>
      <protection locked="1" hidden="0"/>
    </dxf>
    <dxf>
      <font>
        <b val="0"/>
        <i val="0"/>
        <strike val="0"/>
        <condense val="0"/>
        <extend val="0"/>
        <outline val="0"/>
        <shadow val="0"/>
        <u val="none"/>
        <vertAlign val="baseline"/>
        <sz val="8"/>
        <color auto="1"/>
        <name val="Calibri"/>
        <scheme val="none"/>
      </font>
      <fill>
        <patternFill patternType="solid">
          <fgColor indexed="64"/>
          <bgColor theme="3" tint="0.79995117038483843"/>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0" formatCode="General"/>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8"/>
        <color auto="1"/>
        <name val="Calibri"/>
        <scheme val="none"/>
      </font>
      <numFmt numFmtId="275" formatCode="#"/>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i val="0"/>
        <strike val="0"/>
        <condense val="0"/>
        <extend val="0"/>
        <outline val="0"/>
        <shadow val="0"/>
        <u val="none"/>
        <vertAlign val="baseline"/>
        <sz val="8"/>
        <color auto="1"/>
        <name val="Calibri"/>
        <scheme val="none"/>
      </font>
      <numFmt numFmtId="0" formatCode="General"/>
      <fill>
        <patternFill patternType="solid">
          <fgColor indexed="64"/>
          <bgColor theme="3"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0" formatCode="General"/>
      <fill>
        <patternFill patternType="solid">
          <fgColor indexed="64"/>
          <bgColor theme="0" tint="-0.14999847407452621"/>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0"/>
    </dxf>
    <dxf>
      <font>
        <b/>
        <i val="0"/>
        <strike val="0"/>
        <condense val="0"/>
        <extend val="0"/>
        <outline val="0"/>
        <shadow val="0"/>
        <u val="none"/>
        <vertAlign val="baseline"/>
        <sz val="10"/>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3" tint="0.79998168889431442"/>
        </patternFill>
      </fill>
      <alignment horizontal="center" vertical="center" textRotation="0" wrapText="0" relativeIndent="0" justifyLastLine="0" shrinkToFit="0" readingOrder="0"/>
      <border diagonalUp="0" diagonalDown="0">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auto="1"/>
        <name val="Calibri"/>
        <scheme val="none"/>
      </font>
      <fill>
        <patternFill patternType="solid">
          <fgColor indexed="64"/>
          <bgColor theme="6" tint="0.39997558519241921"/>
        </patternFill>
      </fill>
      <alignment horizontal="center" vertical="center" textRotation="0" wrapText="0" indent="0" justifyLastLine="0" shrinkToFit="0" readingOrder="0"/>
      <border diagonalUp="0" diagonalDown="0" outline="0">
        <left style="thin">
          <color indexed="64"/>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minor"/>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minor"/>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minor"/>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minor"/>
      </font>
      <numFmt numFmtId="0" formatCode="General"/>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none"/>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minor"/>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minor"/>
      </font>
      <numFmt numFmtId="337" formatCode="[$-409]d\-mmm;@"/>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top style="thin">
          <color indexed="64"/>
        </top>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8" tint="0.59999389629810485"/>
        </patternFill>
      </fill>
      <alignment horizontal="center" vertical="center" textRotation="0" wrapText="0" relative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i val="0"/>
        <strike val="0"/>
        <condense val="0"/>
        <extend val="0"/>
        <outline val="0"/>
        <shadow val="0"/>
        <u val="none"/>
        <vertAlign val="baseline"/>
        <sz val="10"/>
        <color rgb="FFFF0000"/>
        <name val="Calibri"/>
        <scheme val="none"/>
      </font>
      <fill>
        <patternFill patternType="solid">
          <fgColor indexed="64"/>
          <bgColor theme="6" tint="0.39997558519241921"/>
        </patternFill>
      </fill>
      <alignment horizontal="left" vertical="center" textRotation="0" wrapText="0" indent="0" justifyLastLine="0" shrinkToFit="0" readingOrder="0"/>
      <border diagonalUp="0" diagonalDown="0" outline="0">
        <left/>
        <right style="thin">
          <color indexed="64"/>
        </right>
        <top style="medium">
          <color indexed="64"/>
        </top>
        <bottom/>
      </border>
    </dxf>
    <dxf>
      <font>
        <b val="0"/>
        <i val="0"/>
        <strike val="0"/>
        <condense val="0"/>
        <extend val="0"/>
        <outline val="0"/>
        <shadow val="0"/>
        <u val="none"/>
        <vertAlign val="baseline"/>
        <sz val="8"/>
        <color auto="1"/>
        <name val="Calibri"/>
        <scheme val="none"/>
      </font>
      <fill>
        <patternFill patternType="solid">
          <fgColor indexed="64"/>
          <bgColor theme="6" tint="0.79998168889431442"/>
        </patternFill>
      </fill>
      <alignment horizontal="center" vertical="center" textRotation="0" wrapText="0" relativeIndent="0" justifyLastLine="0" shrinkToFit="0" readingOrder="0"/>
      <border diagonalUp="0" diagonalDown="0">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solid">
          <fgColor indexed="64"/>
          <bgColor theme="0" tint="-0.14999847407452621"/>
        </patternFill>
      </fill>
      <alignment horizontal="center" vertical="center" textRotation="0" wrapText="0" relativeIndent="0" justifyLastLine="0" shrinkToFit="0" readingOrder="0"/>
    </dxf>
    <dxf>
      <font>
        <b/>
        <i val="0"/>
        <strike val="0"/>
        <condense val="0"/>
        <extend val="0"/>
        <outline val="0"/>
        <shadow val="0"/>
        <u val="none"/>
        <vertAlign val="baseline"/>
        <sz val="8"/>
        <color indexed="9"/>
        <name val="Calibri"/>
        <scheme val="none"/>
      </font>
      <fill>
        <patternFill patternType="solid">
          <fgColor indexed="64"/>
          <bgColor theme="4"/>
        </patternFill>
      </fill>
      <alignment horizontal="center" vertical="center" textRotation="0" wrapText="1" relativeIndent="0" justifyLastLine="0" shrinkToFit="0" readingOrder="0"/>
      <border diagonalUp="0" diagonalDown="0" outline="0">
        <left style="thin">
          <color indexed="64"/>
        </left>
        <right style="thin">
          <color indexed="64"/>
        </right>
        <top/>
        <bottom/>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5" Type="http://schemas.openxmlformats.org/officeDocument/2006/relationships/pivotCacheDefinition" Target="pivotCache/pivotCacheDefinition1.xml"/><Relationship Id="rId10"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oM_EMEA_GC_DIGITAL_v0.6.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HostBuild"/>
      <sheetName val="Financials"/>
      <sheetName val="System Delivery Status"/>
      <sheetName val="Stats"/>
      <sheetName val="Server HW Summary"/>
      <sheetName val="SW Financials Summary"/>
      <sheetName val="SW Details"/>
      <sheetName val="SW_Unit_costs"/>
      <sheetName val="CTI Rate Card 2013 (Complete)"/>
      <sheetName val="CTI Rate Card 2014 (Complete)"/>
      <sheetName val="Other Products"/>
      <sheetName val="Parking Lot"/>
      <sheetName val="References"/>
      <sheetName val="Defined Values"/>
      <sheetName val="BoM Design Log"/>
      <sheetName val="BoM Standards Rules"/>
      <sheetName val="Future Enhancements"/>
      <sheetName val="AppSettings"/>
      <sheetName val="BoM_EMEA_GC_DIGITAL_v0.6"/>
    </sheetNames>
    <sheetDataSet>
      <sheetData sheetId="0"/>
      <sheetData sheetId="1"/>
      <sheetData sheetId="2"/>
      <sheetData sheetId="3"/>
      <sheetData sheetId="4"/>
      <sheetData sheetId="5"/>
      <sheetData sheetId="6"/>
      <sheetData sheetId="7"/>
      <sheetData sheetId="8">
        <row r="3">
          <cell r="L3" t="str">
            <v>Ab Initio</v>
          </cell>
        </row>
        <row r="4">
          <cell r="L4" t="str">
            <v>CA APM</v>
          </cell>
        </row>
        <row r="5">
          <cell r="L5" t="str">
            <v>FinCAD</v>
          </cell>
        </row>
        <row r="6">
          <cell r="L6" t="str">
            <v>IBM BG Web Client</v>
          </cell>
        </row>
        <row r="7">
          <cell r="L7" t="str">
            <v>IBM Biz Glossary</v>
          </cell>
        </row>
        <row r="8">
          <cell r="L8" t="str">
            <v>IBM Datastage</v>
          </cell>
        </row>
        <row r="9">
          <cell r="L9" t="str">
            <v>IBM DS Designer</v>
          </cell>
        </row>
        <row r="10">
          <cell r="L10" t="str">
            <v>IBM DS IS Dir</v>
          </cell>
        </row>
        <row r="11">
          <cell r="L11" t="str">
            <v>IBM HTTP pSeries</v>
          </cell>
        </row>
        <row r="12">
          <cell r="L12" t="str">
            <v>IBM HTTP x86</v>
          </cell>
        </row>
        <row r="13">
          <cell r="L13" t="str">
            <v>IBM Tivoli DS</v>
          </cell>
        </row>
        <row r="14">
          <cell r="L14" t="str">
            <v>IBM WAS pSeries</v>
          </cell>
        </row>
        <row r="15">
          <cell r="L15" t="str">
            <v>IBM WAS x86</v>
          </cell>
        </row>
        <row r="16">
          <cell r="L16" t="str">
            <v>IBM WBM pSeries</v>
          </cell>
        </row>
        <row r="17">
          <cell r="L17" t="str">
            <v>IBM WMQ x86</v>
          </cell>
        </row>
        <row r="18">
          <cell r="L18" t="str">
            <v>IBM WPS pSeries</v>
          </cell>
        </row>
        <row r="19">
          <cell r="L19" t="str">
            <v>IBM WPS x86</v>
          </cell>
        </row>
        <row r="20">
          <cell r="L20" t="str">
            <v>IBM WS Process Srvr</v>
          </cell>
        </row>
        <row r="21">
          <cell r="L21" t="str">
            <v>IBM WS VE (Cntrlr)</v>
          </cell>
        </row>
        <row r="22">
          <cell r="L22" t="str">
            <v>IBM WS VE (Node)</v>
          </cell>
        </row>
        <row r="23">
          <cell r="L23" t="str">
            <v>Kana (Both)</v>
          </cell>
        </row>
        <row r="24">
          <cell r="L24" t="str">
            <v>MS SQL EE (Ext)</v>
          </cell>
        </row>
        <row r="25">
          <cell r="L25" t="str">
            <v>MS SQL EE (Int)</v>
          </cell>
        </row>
        <row r="26">
          <cell r="L26" t="str">
            <v>MS SQL SE (Ext)</v>
          </cell>
        </row>
        <row r="27">
          <cell r="L27" t="str">
            <v>MS SQL SE (Int)</v>
          </cell>
        </row>
        <row r="28">
          <cell r="L28" t="str">
            <v>Oracle ASO pSeries</v>
          </cell>
        </row>
        <row r="29">
          <cell r="L29" t="str">
            <v>Oracle ASO x86</v>
          </cell>
        </row>
        <row r="30">
          <cell r="L30" t="str">
            <v>Oracle Ext. Bundle pSeries</v>
          </cell>
        </row>
        <row r="31">
          <cell r="L31" t="str">
            <v>Oracle Ext. Bundle x86</v>
          </cell>
        </row>
        <row r="32">
          <cell r="L32" t="str">
            <v>Oracle GG pSeries</v>
          </cell>
        </row>
        <row r="33">
          <cell r="L33" t="str">
            <v>Oracle GG x86</v>
          </cell>
        </row>
        <row r="34">
          <cell r="L34" t="str">
            <v>Oracle GG Veridata pSeries</v>
          </cell>
        </row>
        <row r="35">
          <cell r="L35" t="str">
            <v>Oracle GG Veridata x86</v>
          </cell>
        </row>
        <row r="36">
          <cell r="L36" t="str">
            <v>Oracle Partitioning pSeries</v>
          </cell>
        </row>
        <row r="37">
          <cell r="L37" t="str">
            <v>Oracle Partitioning x86</v>
          </cell>
        </row>
        <row r="38">
          <cell r="L38" t="str">
            <v>Oracle RAC pSeries</v>
          </cell>
        </row>
        <row r="39">
          <cell r="L39" t="str">
            <v>Oracle RAC x86</v>
          </cell>
        </row>
        <row r="40">
          <cell r="L40" t="str">
            <v>Oracle Spatial pSeries</v>
          </cell>
        </row>
        <row r="41">
          <cell r="L41" t="str">
            <v>Oracle Spatial x86</v>
          </cell>
        </row>
        <row r="42">
          <cell r="L42" t="str">
            <v>Oracle Standalone</v>
          </cell>
        </row>
        <row r="43">
          <cell r="L43" t="str">
            <v>Oracle WebLogic pSeries</v>
          </cell>
        </row>
        <row r="44">
          <cell r="L44" t="str">
            <v>Oracle WebLogic x86</v>
          </cell>
        </row>
        <row r="45">
          <cell r="L45" t="str">
            <v>PB Spectrum</v>
          </cell>
        </row>
        <row r="46">
          <cell r="L46" t="str">
            <v>SAP BO</v>
          </cell>
        </row>
        <row r="47">
          <cell r="L47" t="str">
            <v>Sterling NDM</v>
          </cell>
        </row>
        <row r="48">
          <cell r="L48" t="str">
            <v>TIBCO Adapter SDK</v>
          </cell>
        </row>
        <row r="49">
          <cell r="L49" t="str">
            <v>TIBCO AMX BPM</v>
          </cell>
        </row>
        <row r="50">
          <cell r="L50" t="str">
            <v>TIBCO BE</v>
          </cell>
        </row>
        <row r="51">
          <cell r="L51" t="str">
            <v>TIBCO BW</v>
          </cell>
        </row>
        <row r="52">
          <cell r="L52" t="str">
            <v>TIBCO EMS</v>
          </cell>
        </row>
        <row r="53">
          <cell r="L53" t="str">
            <v>TIBCO iProcess</v>
          </cell>
        </row>
        <row r="54">
          <cell r="L54" t="str">
            <v>Veritas Cluster/CFS</v>
          </cell>
        </row>
      </sheetData>
      <sheetData sheetId="9"/>
      <sheetData sheetId="10">
        <row r="260">
          <cell r="I260">
            <v>3.07</v>
          </cell>
        </row>
        <row r="747">
          <cell r="I747">
            <v>0.62</v>
          </cell>
        </row>
        <row r="874">
          <cell r="I874">
            <v>187.1</v>
          </cell>
        </row>
        <row r="878">
          <cell r="I878">
            <v>187.1</v>
          </cell>
        </row>
        <row r="910">
          <cell r="I910">
            <v>0.45</v>
          </cell>
        </row>
        <row r="941">
          <cell r="I941">
            <v>0.45</v>
          </cell>
        </row>
        <row r="966">
          <cell r="I966">
            <v>0.9</v>
          </cell>
        </row>
        <row r="969">
          <cell r="I969">
            <v>0.9</v>
          </cell>
        </row>
        <row r="974">
          <cell r="I974">
            <v>0.03</v>
          </cell>
        </row>
        <row r="979">
          <cell r="I979">
            <v>9</v>
          </cell>
        </row>
        <row r="980">
          <cell r="I980">
            <v>9</v>
          </cell>
        </row>
        <row r="990">
          <cell r="I990">
            <v>22</v>
          </cell>
        </row>
        <row r="1108">
          <cell r="I1108">
            <v>0.35</v>
          </cell>
        </row>
        <row r="1122">
          <cell r="I1122">
            <v>198</v>
          </cell>
        </row>
        <row r="1128">
          <cell r="I1128">
            <v>229</v>
          </cell>
        </row>
        <row r="1137">
          <cell r="I1137">
            <v>333</v>
          </cell>
        </row>
        <row r="1145">
          <cell r="I1145">
            <v>500</v>
          </cell>
        </row>
      </sheetData>
      <sheetData sheetId="11">
        <row r="5">
          <cell r="G5">
            <v>921.625</v>
          </cell>
        </row>
        <row r="6">
          <cell r="G6">
            <v>202</v>
          </cell>
        </row>
        <row r="7">
          <cell r="G7">
            <v>7145.416666666667</v>
          </cell>
        </row>
        <row r="8">
          <cell r="G8">
            <v>266.08333333333331</v>
          </cell>
        </row>
      </sheetData>
      <sheetData sheetId="12"/>
      <sheetData sheetId="13">
        <row r="2">
          <cell r="Y2">
            <v>33.700000000000003</v>
          </cell>
        </row>
      </sheetData>
      <sheetData sheetId="14"/>
      <sheetData sheetId="15"/>
      <sheetData sheetId="16"/>
      <sheetData sheetId="17"/>
      <sheetData sheetId="18"/>
      <sheetData sheetId="19"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r:id="rId1" refreshedBy="Ashok Kumar Reddy" refreshedDate="41716.784625347223" createdVersion="4" refreshedVersion="4" minRefreshableVersion="3" recordCount="647">
  <cacheSource type="worksheet">
    <worksheetSource ref="A1:FI1048576" sheet="Source_New"/>
  </cacheSource>
  <cacheFields count="165">
    <cacheField name="PCR" numFmtId="0">
      <sharedItems containsBlank="1"/>
    </cacheField>
    <cacheField name="Priority" numFmtId="0">
      <sharedItems containsNonDate="0" containsString="0" containsBlank="1"/>
    </cacheField>
    <cacheField name="Status" numFmtId="0">
      <sharedItems containsNonDate="0" containsString="0" containsBlank="1"/>
    </cacheField>
    <cacheField name="CTI Build Status Commentary" numFmtId="0">
      <sharedItems containsNonDate="0" containsString="0" containsBlank="1"/>
    </cacheField>
    <cacheField name="CTI Cloud / Frame Built / Incremental Added" numFmtId="0">
      <sharedItems containsNonDate="0" containsString="0" containsBlank="1"/>
    </cacheField>
    <cacheField name="CTI SA Build Completed" numFmtId="0">
      <sharedItems containsNonDate="0" containsString="0" containsBlank="1"/>
    </cacheField>
    <cacheField name="CTI Target Completion" numFmtId="0">
      <sharedItems containsNonDate="0" containsString="0" containsBlank="1"/>
    </cacheField>
    <cacheField name="CTO Server / DBA Build Spec Completed" numFmtId="0">
      <sharedItems containsNonDate="0" containsString="0" containsBlank="1"/>
    </cacheField>
    <cacheField name="CTO Build Spec Link" numFmtId="0">
      <sharedItems containsNonDate="0" containsString="0" containsBlank="1"/>
    </cacheField>
    <cacheField name="CTI DBA Build Completed" numFmtId="0">
      <sharedItems containsNonDate="0" containsString="0" containsBlank="1"/>
    </cacheField>
    <cacheField name="CTI Handover" numFmtId="0">
      <sharedItems containsNonDate="0" containsString="0" containsBlank="1"/>
    </cacheField>
    <cacheField name="CTO Acceptance" numFmtId="0">
      <sharedItems containsNonDate="0" containsString="0" containsBlank="1"/>
    </cacheField>
    <cacheField name="CTI Complete (Y/N)" numFmtId="0">
      <sharedItems containsBlank="1"/>
    </cacheField>
    <cacheField name="DC" numFmtId="0">
      <sharedItems containsBlank="1" count="4">
        <s v="FDC"/>
        <s v="RDC"/>
        <s v="HKDC"/>
        <m/>
      </sharedItems>
    </cacheField>
    <cacheField name="Region" numFmtId="0">
      <sharedItems containsNonDate="0" containsString="0" containsBlank="1"/>
    </cacheField>
    <cacheField name="Country" numFmtId="0">
      <sharedItems containsNonDate="0" containsString="0" containsBlank="1"/>
    </cacheField>
    <cacheField name="Env Label" numFmtId="0">
      <sharedItems containsBlank="1" count="11">
        <s v="PAT/PROD"/>
        <s v="PROD"/>
        <s v="PAT"/>
        <s v="COB"/>
        <s v="UAT"/>
        <s v="SIT"/>
        <s v="PROD2"/>
        <s v="UAT2"/>
        <s v="SIT/DIT"/>
        <s v="DIT"/>
        <m/>
      </sharedItems>
    </cacheField>
    <cacheField name="Env" numFmtId="0">
      <sharedItems containsBlank="1"/>
    </cacheField>
    <cacheField name="Server TCRS" numFmtId="0">
      <sharedItems containsNonDate="0" containsString="0" containsBlank="1"/>
    </cacheField>
    <cacheField name="Aperture" numFmtId="0">
      <sharedItems containsNonDate="0" containsString="0" containsBlank="1"/>
    </cacheField>
    <cacheField name="Product Owner" numFmtId="0">
      <sharedItems containsNonDate="0" containsString="0" containsBlank="1"/>
    </cacheField>
    <cacheField name="Description" numFmtId="0">
      <sharedItems containsBlank="1"/>
    </cacheField>
    <cacheField name="Software List" numFmtId="0">
      <sharedItems containsBlank="1"/>
    </cacheField>
    <cacheField name="Type" numFmtId="0">
      <sharedItems containsBlank="1"/>
    </cacheField>
    <cacheField name="Product _x000a_(Acronym)" numFmtId="0">
      <sharedItems containsBlank="1"/>
    </cacheField>
    <cacheField name="Usage" numFmtId="0">
      <sharedItems containsBlank="1"/>
    </cacheField>
    <cacheField name="CSI App ID" numFmtId="0">
      <sharedItems containsNonDate="0" containsString="0" containsBlank="1"/>
    </cacheField>
    <cacheField name="Existing Server?" numFmtId="0">
      <sharedItems containsBlank="1"/>
    </cacheField>
    <cacheField name="Existing CPUs" numFmtId="0">
      <sharedItems containsNonDate="0" containsString="0" containsBlank="1"/>
    </cacheField>
    <cacheField name="Existing Cores" numFmtId="0">
      <sharedItems containsNonDate="0" containsString="0" containsBlank="1"/>
    </cacheField>
    <cacheField name="Existing RAM (GB)" numFmtId="0">
      <sharedItems containsNonDate="0" containsString="0" containsBlank="1"/>
    </cacheField>
    <cacheField name="Use existing server config towards SW Licensing?" numFmtId="0">
      <sharedItems containsBlank="1"/>
    </cacheField>
    <cacheField name="Original Alias" numFmtId="0">
      <sharedItems containsNonDate="0" containsString="0" containsBlank="1"/>
    </cacheField>
    <cacheField name="Decommission" numFmtId="0">
      <sharedItems containsNonDate="0" containsString="0" containsBlank="1"/>
    </cacheField>
    <cacheField name="Alias" numFmtId="0">
      <sharedItems containsBlank="1" containsMixedTypes="1" containsNumber="1" containsInteger="1" minValue="153" maxValue="153"/>
    </cacheField>
    <cacheField name="Uniqueness Factor" numFmtId="0">
      <sharedItems containsString="0" containsBlank="1" containsNumber="1" containsInteger="1" minValue="0" maxValue="1"/>
    </cacheField>
    <cacheField name="Hostname" numFmtId="0">
      <sharedItems containsNonDate="0" containsString="0" containsBlank="1"/>
    </cacheField>
    <cacheField name="Domain" numFmtId="0">
      <sharedItems containsNonDate="0" containsString="0" containsBlank="1"/>
    </cacheField>
    <cacheField name="Server Model" numFmtId="0">
      <sharedItems containsBlank="1"/>
    </cacheField>
    <cacheField name="Server Tier" numFmtId="0">
      <sharedItems containsBlank="1"/>
    </cacheField>
    <cacheField name="Server Type" numFmtId="0">
      <sharedItems containsBlank="1"/>
    </cacheField>
    <cacheField name="Virtual Platform Storage Type" numFmtId="0">
      <sharedItems containsNonDate="0" containsString="0" containsBlank="1"/>
    </cacheField>
    <cacheField name="O/S" numFmtId="0">
      <sharedItems containsBlank="1"/>
    </cacheField>
    <cacheField name="CPU" numFmtId="0">
      <sharedItems containsString="0" containsBlank="1" containsNumber="1" containsInteger="1" minValue="1" maxValue="162"/>
    </cacheField>
    <cacheField name="CPU Speed" numFmtId="0">
      <sharedItems containsNonDate="0" containsString="0" containsBlank="1"/>
    </cacheField>
    <cacheField name="Cores _x000a_(Licensed Units)" numFmtId="0">
      <sharedItems containsString="0" containsBlank="1" containsNumber="1" containsInteger="1" minValue="1" maxValue="1206"/>
    </cacheField>
    <cacheField name="Recommended RAM (GB)" numFmtId="0">
      <sharedItems containsBlank="1" containsMixedTypes="1" containsNumber="1" containsInteger="1" minValue="16" maxValue="16"/>
    </cacheField>
    <cacheField name="RAM _x000a_(GB)" numFmtId="0">
      <sharedItems containsString="0" containsBlank="1" containsNumber="1" containsInteger="1" minValue="16" maxValue="14992"/>
    </cacheField>
    <cacheField name="Is Clustered? (ID #)" numFmtId="0">
      <sharedItems containsNonDate="0" containsString="0" containsBlank="1"/>
    </cacheField>
    <cacheField name="Cluster Type" numFmtId="0">
      <sharedItems containsNonDate="0" containsString="0" containsBlank="1"/>
    </cacheField>
    <cacheField name="Cluster Mode" numFmtId="0">
      <sharedItems containsNonDate="0" containsString="0" containsBlank="1"/>
    </cacheField>
    <cacheField name="Affinity" numFmtId="0">
      <sharedItems containsNonDate="0" containsString="0" containsBlank="1"/>
    </cacheField>
    <cacheField name="Frame/Chassis #" numFmtId="0">
      <sharedItems containsNonDate="0" containsString="0" containsBlank="1"/>
    </cacheField>
    <cacheField name="Slot #" numFmtId="0">
      <sharedItems containsNonDate="0" containsString="0" containsBlank="1"/>
    </cacheField>
    <cacheField name="Frame S/N" numFmtId="0">
      <sharedItems containsNonDate="0" containsString="0" containsBlank="1"/>
    </cacheField>
    <cacheField name="Min Virtual Processors" numFmtId="0">
      <sharedItems containsNonDate="0" containsString="0" containsBlank="1"/>
    </cacheField>
    <cacheField name="Desired Virtual Processors" numFmtId="0">
      <sharedItems containsNonDate="0" containsString="0" containsBlank="1"/>
    </cacheField>
    <cacheField name="Max Virtual Processors" numFmtId="0">
      <sharedItems containsNonDate="0" containsString="0" containsBlank="1"/>
    </cacheField>
    <cacheField name="Min Processing Units" numFmtId="0">
      <sharedItems containsNonDate="0" containsString="0" containsBlank="1"/>
    </cacheField>
    <cacheField name="Desired Processing Units" numFmtId="0">
      <sharedItems containsNonDate="0" containsString="0" containsBlank="1"/>
    </cacheField>
    <cacheField name="Max Processing Units" numFmtId="0">
      <sharedItems containsNonDate="0" containsString="0" containsBlank="1"/>
    </cacheField>
    <cacheField name="Weight_x000a_(0-256)" numFmtId="0">
      <sharedItems containsNonDate="0" containsString="0" containsBlank="1"/>
    </cacheField>
    <cacheField name="Recommended SAN (GB)" numFmtId="0">
      <sharedItems containsString="0" containsBlank="1" containsNumber="1" minValue="0" maxValue="337"/>
    </cacheField>
    <cacheField name="Additional SAN (GB)" numFmtId="0">
      <sharedItems containsString="0" containsBlank="1" containsNumber="1" containsInteger="1" minValue="60" maxValue="3200"/>
    </cacheField>
    <cacheField name="SAN (GB)_x000a_NEEDED TODAY" numFmtId="0">
      <sharedItems containsString="0" containsBlank="1" containsNumber="1" minValue="0" maxValue="65175.799999999996" count="23">
        <n v="67.400000000000006"/>
        <n v="471.8"/>
        <n v="337"/>
        <n v="101.10000000000001"/>
        <n v="0"/>
        <n v="1314.3000000000002"/>
        <n v="303.3"/>
        <m/>
        <n v="168.5"/>
        <n v="505.50000000000006"/>
        <n v="269.60000000000002"/>
        <n v="909.90000000000009"/>
        <n v="808.80000000000007"/>
        <n v="1145.8000000000002"/>
        <n v="3403.7000000000003"/>
        <n v="404.40000000000003"/>
        <n v="707.7"/>
        <n v="1853.5000000000002"/>
        <n v="370.70000000000005"/>
        <n v="606.6"/>
        <n v="1011.0000000000001"/>
        <n v="1718.7000000000003"/>
        <n v="65175.799999999996"/>
      </sharedItems>
    </cacheField>
    <cacheField name="SAN (GB)_x000a_RESERVED_x000a_DO NOT USE TO BUILD" numFmtId="0">
      <sharedItems containsString="0" containsBlank="1" containsNumber="1" containsInteger="1" minValue="0" maxValue="0"/>
    </cacheField>
    <cacheField name="SAN (GB)_x000a_End-State_x000a_DO NOT USE TO BUILD" numFmtId="0">
      <sharedItems containsString="0" containsBlank="1" containsNumber="1" minValue="0" maxValue="65175.799999999996" count="23">
        <n v="67.400000000000006"/>
        <n v="471.8"/>
        <n v="337"/>
        <n v="101.10000000000001"/>
        <n v="0"/>
        <n v="1314.3000000000002"/>
        <n v="303.3"/>
        <m/>
        <n v="168.5"/>
        <n v="505.50000000000006"/>
        <n v="269.60000000000002"/>
        <n v="909.90000000000009"/>
        <n v="808.80000000000007"/>
        <n v="1145.8000000000002"/>
        <n v="3403.7000000000003"/>
        <n v="404.40000000000003"/>
        <n v="707.7"/>
        <n v="1853.5000000000002"/>
        <n v="370.70000000000005"/>
        <n v="606.6"/>
        <n v="1011.0000000000001"/>
        <n v="1718.7000000000003"/>
        <n v="65175.799999999996"/>
      </sharedItems>
    </cacheField>
    <cacheField name="SAN (GB) Shared" numFmtId="0">
      <sharedItems containsString="0" containsBlank="1" containsNumber="1" containsInteger="1" minValue="60" maxValue="3000"/>
    </cacheField>
    <cacheField name="Shared SAN Group Name" numFmtId="0">
      <sharedItems containsNonDate="0" containsString="0" containsBlank="1"/>
    </cacheField>
    <cacheField name="Require SRDF?" numFmtId="0">
      <sharedItems containsBlank="1" count="3">
        <s v="Yes"/>
        <s v="No"/>
        <m/>
      </sharedItems>
    </cacheField>
    <cacheField name="Recommended NAS (GB)" numFmtId="0">
      <sharedItems containsString="0" containsBlank="1" containsNumber="1" containsInteger="1" minValue="0" maxValue="0"/>
    </cacheField>
    <cacheField name="Additional NAS (GB)" numFmtId="0">
      <sharedItems containsNonDate="0" containsString="0" containsBlank="1"/>
    </cacheField>
    <cacheField name="NAS (GB) Dedicated" numFmtId="0">
      <sharedItems containsString="0" containsBlank="1" containsNumber="1" containsInteger="1" minValue="0" maxValue="0"/>
    </cacheField>
    <cacheField name="NAS _x000a_(GB) Shared" numFmtId="0">
      <sharedItems containsString="0" containsBlank="1" containsNumber="1" containsInteger="1" minValue="0" maxValue="0"/>
    </cacheField>
    <cacheField name="NAS Shared Groups" numFmtId="0">
      <sharedItems containsNonDate="0" containsString="0" containsBlank="1"/>
    </cacheField>
    <cacheField name="Archive_x000a_Full (GB)" numFmtId="0">
      <sharedItems containsString="0" containsBlank="1" containsNumber="1" minValue="0" maxValue="21648.950000000008"/>
    </cacheField>
    <cacheField name="Archive_x000a_Incr (GB)" numFmtId="0">
      <sharedItems containsString="0" containsBlank="1" containsNumber="1" minValue="0" maxValue="3247.3424999999997"/>
    </cacheField>
    <cacheField name="HSM Required?" numFmtId="0">
      <sharedItems containsNonDate="0" containsString="0" containsBlank="1"/>
    </cacheField>
    <cacheField name="DMZ Required?" numFmtId="0">
      <sharedItems containsNonDate="0" containsString="0" containsBlank="1"/>
    </cacheField>
    <cacheField name="Type of Network Connection I" numFmtId="0">
      <sharedItems containsNonDate="0" containsString="0" containsBlank="1"/>
    </cacheField>
    <cacheField name="# of Connections I" numFmtId="0">
      <sharedItems containsNonDate="0" containsString="0" containsBlank="1"/>
    </cacheField>
    <cacheField name="Type of Network Connection II" numFmtId="0">
      <sharedItems containsNonDate="0" containsString="0" containsBlank="1"/>
    </cacheField>
    <cacheField name="# of Connections II" numFmtId="0">
      <sharedItems containsNonDate="0" containsString="0" containsBlank="1"/>
    </cacheField>
    <cacheField name="Primary_x000a_IP" numFmtId="0">
      <sharedItems containsNonDate="0" containsString="0" containsBlank="1"/>
    </cacheField>
    <cacheField name="Secondary_x000a_IP" numFmtId="0">
      <sharedItems containsNonDate="0" containsString="0" containsBlank="1"/>
    </cacheField>
    <cacheField name="Capital Costs_x000a_(One-Time)" numFmtId="0">
      <sharedItems containsString="0" containsBlank="1" containsNumber="1" containsInteger="1" minValue="0" maxValue="0"/>
    </cacheField>
    <cacheField name="Capital Costs_x000a_(Annual)" numFmtId="0">
      <sharedItems containsString="0" containsBlank="1" containsNumber="1" containsInteger="1" minValue="0" maxValue="0"/>
    </cacheField>
    <cacheField name="Notes" numFmtId="0">
      <sharedItems containsBlank="1"/>
    </cacheField>
    <cacheField name="SW Start" numFmtId="0">
      <sharedItems containsNonDate="0" containsString="0" containsBlank="1"/>
    </cacheField>
    <cacheField name="Ab Initio" numFmtId="0">
      <sharedItems containsString="0" containsBlank="1" containsNumber="1" containsInteger="1" minValue="0" maxValue="0"/>
    </cacheField>
    <cacheField name="CA APM" numFmtId="0">
      <sharedItems containsString="0" containsBlank="1" containsNumber="1" containsInteger="1" minValue="0" maxValue="52"/>
    </cacheField>
    <cacheField name="FinCAD" numFmtId="0">
      <sharedItems containsString="0" containsBlank="1" containsNumber="1" containsInteger="1" minValue="0" maxValue="0"/>
    </cacheField>
    <cacheField name="IBM BG Web Client" numFmtId="0">
      <sharedItems containsString="0" containsBlank="1" containsNumber="1" containsInteger="1" minValue="0" maxValue="0"/>
    </cacheField>
    <cacheField name="IBM Biz Glossary" numFmtId="0">
      <sharedItems containsString="0" containsBlank="1" containsNumber="1" containsInteger="1" minValue="0" maxValue="0"/>
    </cacheField>
    <cacheField name="IBM Datastage" numFmtId="0">
      <sharedItems containsString="0" containsBlank="1" containsNumber="1" containsInteger="1" minValue="0" maxValue="0"/>
    </cacheField>
    <cacheField name="IBM DS Designer" numFmtId="0">
      <sharedItems containsString="0" containsBlank="1" containsNumber="1" containsInteger="1" minValue="0" maxValue="0"/>
    </cacheField>
    <cacheField name="IBM DS IS Dir" numFmtId="0">
      <sharedItems containsString="0" containsBlank="1" containsNumber="1" containsInteger="1" minValue="0" maxValue="0"/>
    </cacheField>
    <cacheField name="IBM HTTP pSeries" numFmtId="0">
      <sharedItems containsString="0" containsBlank="1" containsNumber="1" containsInteger="1" minValue="0" maxValue="0"/>
    </cacheField>
    <cacheField name="IBM HTTP x86" numFmtId="0">
      <sharedItems containsString="0" containsBlank="1" containsNumber="1" containsInteger="1" minValue="0" maxValue="384"/>
    </cacheField>
    <cacheField name="IBM Tivoli DS" numFmtId="0">
      <sharedItems containsString="0" containsBlank="1" containsNumber="1" containsInteger="1" minValue="0" maxValue="0"/>
    </cacheField>
    <cacheField name="IBM WAS pSeries" numFmtId="0">
      <sharedItems containsString="0" containsBlank="1" containsNumber="1" containsInteger="1" minValue="0" maxValue="0"/>
    </cacheField>
    <cacheField name="IBM WAS x86" numFmtId="0">
      <sharedItems containsString="0" containsBlank="1" containsNumber="1" containsInteger="1" minValue="0" maxValue="320"/>
    </cacheField>
    <cacheField name="IBM WBM pSeries" numFmtId="0">
      <sharedItems containsString="0" containsBlank="1" containsNumber="1" containsInteger="1" minValue="0" maxValue="0"/>
    </cacheField>
    <cacheField name="IBM WMQ x86" numFmtId="0">
      <sharedItems containsString="0" containsBlank="1" containsNumber="1" containsInteger="1" minValue="0" maxValue="0"/>
    </cacheField>
    <cacheField name="IBM WPS pSeries" numFmtId="0">
      <sharedItems containsString="0" containsBlank="1" containsNumber="1" containsInteger="1" minValue="0" maxValue="0"/>
    </cacheField>
    <cacheField name="IBM WPS x86" numFmtId="0">
      <sharedItems containsString="0" containsBlank="1" containsNumber="1" containsInteger="1" minValue="0" maxValue="0"/>
    </cacheField>
    <cacheField name="IBM WS Process Srvr" numFmtId="0">
      <sharedItems containsString="0" containsBlank="1" containsNumber="1" containsInteger="1" minValue="0" maxValue="0"/>
    </cacheField>
    <cacheField name="IBM WS VE (Cntrlr)" numFmtId="0">
      <sharedItems containsString="0" containsBlank="1" containsNumber="1" containsInteger="1" minValue="0" maxValue="0"/>
    </cacheField>
    <cacheField name="IBM WS VE (Node)" numFmtId="0">
      <sharedItems containsString="0" containsBlank="1" containsNumber="1" containsInteger="1" minValue="0" maxValue="0"/>
    </cacheField>
    <cacheField name="Kana (Both)" numFmtId="0">
      <sharedItems containsString="0" containsBlank="1" containsNumber="1" containsInteger="1" minValue="0" maxValue="0"/>
    </cacheField>
    <cacheField name="MS SQL EE (Ext)" numFmtId="0">
      <sharedItems containsString="0" containsBlank="1" containsNumber="1" containsInteger="1" minValue="0" maxValue="0"/>
    </cacheField>
    <cacheField name="MS SQL EE (Int)" numFmtId="0">
      <sharedItems containsString="0" containsBlank="1" containsNumber="1" containsInteger="1" minValue="0" maxValue="0"/>
    </cacheField>
    <cacheField name="MS SQL SE (Ext)" numFmtId="0">
      <sharedItems containsString="0" containsBlank="1" containsNumber="1" containsInteger="1" minValue="0" maxValue="0"/>
    </cacheField>
    <cacheField name="MS SQL SE (Int)" numFmtId="0">
      <sharedItems containsString="0" containsBlank="1" containsNumber="1" containsInteger="1" minValue="0" maxValue="0"/>
    </cacheField>
    <cacheField name="Oracle ASO pSeries" numFmtId="0">
      <sharedItems containsString="0" containsBlank="1" containsNumber="1" containsInteger="1" minValue="0" maxValue="0"/>
    </cacheField>
    <cacheField name="Oracle ASO x86" numFmtId="0">
      <sharedItems containsString="0" containsBlank="1" containsNumber="1" containsInteger="1" minValue="0" maxValue="0"/>
    </cacheField>
    <cacheField name="Oracle Ext. Bundle pSeries" numFmtId="0">
      <sharedItems containsString="0" containsBlank="1" containsNumber="1" containsInteger="1" minValue="0" maxValue="0"/>
    </cacheField>
    <cacheField name="Oracle Ext. Bundle x86" numFmtId="0">
      <sharedItems containsString="0" containsBlank="1" containsNumber="1" containsInteger="1" minValue="0" maxValue="0"/>
    </cacheField>
    <cacheField name="Oracle GG pSeries" numFmtId="0">
      <sharedItems containsString="0" containsBlank="1" containsNumber="1" containsInteger="1" minValue="0" maxValue="0"/>
    </cacheField>
    <cacheField name="Oracle GG x86" numFmtId="0">
      <sharedItems containsString="0" containsBlank="1" containsNumber="1" containsInteger="1" minValue="0" maxValue="0"/>
    </cacheField>
    <cacheField name="Oracle GG Veridata pSeries" numFmtId="0">
      <sharedItems containsString="0" containsBlank="1" containsNumber="1" containsInteger="1" minValue="0" maxValue="0"/>
    </cacheField>
    <cacheField name="Oracle GG Veridata x86" numFmtId="0">
      <sharedItems containsString="0" containsBlank="1" containsNumber="1" containsInteger="1" minValue="0" maxValue="0"/>
    </cacheField>
    <cacheField name="Oracle Partitioning pSeries" numFmtId="0">
      <sharedItems containsString="0" containsBlank="1" containsNumber="1" containsInteger="1" minValue="0" maxValue="0"/>
    </cacheField>
    <cacheField name="Oracle Partitioning x86" numFmtId="0">
      <sharedItems containsString="0" containsBlank="1" containsNumber="1" containsInteger="1" minValue="0" maxValue="0"/>
    </cacheField>
    <cacheField name="Oracle RAC pSeries" numFmtId="0">
      <sharedItems containsString="0" containsBlank="1" containsNumber="1" containsInteger="1" minValue="0" maxValue="4"/>
    </cacheField>
    <cacheField name="Oracle RAC x86" numFmtId="0">
      <sharedItems containsString="0" containsBlank="1" containsNumber="1" containsInteger="1" minValue="0" maxValue="256"/>
    </cacheField>
    <cacheField name="Oracle Spatial pSeries" numFmtId="0">
      <sharedItems containsString="0" containsBlank="1" containsNumber="1" containsInteger="1" minValue="0" maxValue="0"/>
    </cacheField>
    <cacheField name="Oracle Spatial x86" numFmtId="0">
      <sharedItems containsString="0" containsBlank="1" containsNumber="1" containsInteger="1" minValue="0" maxValue="0"/>
    </cacheField>
    <cacheField name="Oracle Standalone" numFmtId="0">
      <sharedItems containsString="0" containsBlank="1" containsNumber="1" containsInteger="1" minValue="0" maxValue="0"/>
    </cacheField>
    <cacheField name="Oracle WebLogic pSeries" numFmtId="0">
      <sharedItems containsString="0" containsBlank="1" containsNumber="1" containsInteger="1" minValue="0" maxValue="0"/>
    </cacheField>
    <cacheField name="Oracle WebLogic x86" numFmtId="0">
      <sharedItems containsString="0" containsBlank="1" containsNumber="1" containsInteger="1" minValue="0" maxValue="0"/>
    </cacheField>
    <cacheField name="PB Spectrum" numFmtId="0">
      <sharedItems containsString="0" containsBlank="1" containsNumber="1" containsInteger="1" minValue="0" maxValue="0"/>
    </cacheField>
    <cacheField name="SAP BO" numFmtId="0">
      <sharedItems containsString="0" containsBlank="1" containsNumber="1" containsInteger="1" minValue="0" maxValue="0"/>
    </cacheField>
    <cacheField name="Sterling NDM" numFmtId="0">
      <sharedItems containsString="0" containsBlank="1" containsNumber="1" containsInteger="1" minValue="0" maxValue="0"/>
    </cacheField>
    <cacheField name="TIBCO Adapter SDK" numFmtId="0">
      <sharedItems containsString="0" containsBlank="1" containsNumber="1" containsInteger="1" minValue="0" maxValue="0"/>
    </cacheField>
    <cacheField name="TIBCO AMX BPM" numFmtId="0">
      <sharedItems containsString="0" containsBlank="1" containsNumber="1" containsInteger="1" minValue="0" maxValue="0"/>
    </cacheField>
    <cacheField name="TIBCO BE" numFmtId="0">
      <sharedItems containsString="0" containsBlank="1" containsNumber="1" containsInteger="1" minValue="0" maxValue="0"/>
    </cacheField>
    <cacheField name="TIBCO BW" numFmtId="0">
      <sharedItems containsString="0" containsBlank="1" containsNumber="1" containsInteger="1" minValue="0" maxValue="384"/>
    </cacheField>
    <cacheField name="TIBCO EMS" numFmtId="0">
      <sharedItems containsString="0" containsBlank="1" containsNumber="1" containsInteger="1" minValue="0" maxValue="128"/>
    </cacheField>
    <cacheField name="TIBCO iProcess" numFmtId="0">
      <sharedItems containsString="0" containsBlank="1" containsNumber="1" containsInteger="1" minValue="0" maxValue="0"/>
    </cacheField>
    <cacheField name="Veritas Cluster/CFS" numFmtId="0">
      <sharedItems containsString="0" containsBlank="1" containsNumber="1" containsInteger="1" minValue="0" maxValue="16"/>
    </cacheField>
    <cacheField name="SW End" numFmtId="0">
      <sharedItems containsNonDate="0" containsString="0" containsBlank="1"/>
    </cacheField>
    <cacheField name="Software Costs_x000a_[Year 1]_x000a_(Monthly)" numFmtId="0">
      <sharedItems containsString="0" containsBlank="1" containsNumber="1" minValue="0" maxValue="51569.664200000007"/>
    </cacheField>
    <cacheField name="Software Costs_x000a_[After Year 1]_x000a_(Monthly)" numFmtId="0">
      <sharedItems containsString="0" containsBlank="1" containsNumber="1" minValue="0" maxValue="10870.861866666663"/>
    </cacheField>
    <cacheField name="Server HW Costs_x000a_(Monthly)" numFmtId="0">
      <sharedItems containsString="0" containsBlank="1" containsNumber="1" minValue="0" maxValue="86412.199999999953"/>
    </cacheField>
    <cacheField name="Storage Costs_x000a_(Monthly)" numFmtId="0">
      <sharedItems containsString="0" containsBlank="1" containsNumber="1" minValue="0" maxValue="56539.838000000018"/>
    </cacheField>
    <cacheField name="Tape Costs_x000a_(Monthly)" numFmtId="0">
      <sharedItems containsString="0" containsBlank="1" containsNumber="1" minValue="0" maxValue="8713.7023749999971"/>
    </cacheField>
    <cacheField name="Total Hardware Costs_x000a_(Monthly)" numFmtId="0">
      <sharedItems containsString="0" containsBlank="1" containsNumber="1" minValue="0" maxValue="151665.74037500002"/>
    </cacheField>
    <cacheField name="Total Server Costs_x000a_[Year 1]_x000a_SW+HW_x000a_(Monthly)" numFmtId="0">
      <sharedItems containsString="0" containsBlank="1" containsNumber="1" minValue="0" maxValue="203235.40457500023"/>
    </cacheField>
    <cacheField name="Total Server Costs_x000a_[After Year 1]_x000a_SW+HW_x000a_(Monthly)" numFmtId="0">
      <sharedItems containsString="0" containsBlank="1" containsNumber="1" minValue="0" maxValue="162536.60224166675"/>
    </cacheField>
    <cacheField name="Initial Server Cost" numFmtId="0">
      <sharedItems containsString="0" containsBlank="1" containsNumber="1" minValue="0" maxValue="2522"/>
    </cacheField>
    <cacheField name="Total CPUs" numFmtId="0">
      <sharedItems containsString="0" containsBlank="1" containsNumber="1" containsInteger="1" minValue="0" maxValue="2"/>
    </cacheField>
    <cacheField name="Total Cores" numFmtId="0">
      <sharedItems containsString="0" containsBlank="1" containsNumber="1" containsInteger="1" minValue="0" maxValue="16"/>
    </cacheField>
    <cacheField name="Total RAM" numFmtId="0">
      <sharedItems containsString="0" containsBlank="1" containsNumber="1" containsInteger="1" minValue="0" maxValue="256"/>
    </cacheField>
    <cacheField name="Total VMware Costs" numFmtId="0">
      <sharedItems containsString="0" containsBlank="1" containsNumber="1" containsInteger="1" minValue="0" maxValue="0"/>
    </cacheField>
    <cacheField name="Outside VMware Costs" numFmtId="0">
      <sharedItems containsString="0" containsBlank="1" containsNumber="1" containsInteger="1" minValue="0" maxValue="0"/>
    </cacheField>
    <cacheField name="Existing VMware Costs" numFmtId="0">
      <sharedItems containsString="0" containsBlank="1" containsNumber="1" containsInteger="1" minValue="0" maxValue="0"/>
    </cacheField>
    <cacheField name="New VMware (Adjusted)" numFmtId="0">
      <sharedItems containsString="0" containsBlank="1" containsNumber="1" containsInteger="1" minValue="0" maxValue="0"/>
    </cacheField>
    <cacheField name="Server Cost Breakdown" numFmtId="0">
      <sharedItems containsString="0" containsBlank="1" containsNumber="1" containsInteger="1" minValue="0" maxValue="1658"/>
    </cacheField>
    <cacheField name="OS/SW Costs" numFmtId="0">
      <sharedItems containsString="0" containsBlank="1" containsNumber="1" containsInteger="1" minValue="0" maxValue="0"/>
    </cacheField>
    <cacheField name="VMware Memory" numFmtId="0">
      <sharedItems containsString="0" containsBlank="1" containsNumber="1" containsInteger="1" minValue="0" maxValue="0"/>
    </cacheField>
    <cacheField name="New Memory Cost (Initial)" numFmtId="0">
      <sharedItems containsString="0" containsBlank="1" containsNumber="1" minValue="0" maxValue="864"/>
    </cacheField>
    <cacheField name="New Memory Cost (Adjusted)" numFmtId="0">
      <sharedItems containsString="0" containsBlank="1" containsNumber="1" containsInteger="1" minValue="0" maxValue="0"/>
    </cacheField>
    <cacheField name="Support Cost" numFmtId="0">
      <sharedItems containsString="0" containsBlank="1" containsNumber="1" minValue="0" maxValue="187.1"/>
    </cacheField>
    <cacheField name="Network Cost" numFmtId="0">
      <sharedItems containsString="0" containsBlank="1" containsNumber="1" containsInteger="1" minValue="0" maxValue="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Ashok Kumar Reddy" refreshedDate="41719.900197685187" createdVersion="4" refreshedVersion="4" minRefreshableVersion="3" recordCount="30">
  <cacheSource type="worksheet">
    <worksheetSource ref="A2:K1048576" sheet="Poland G2C source"/>
  </cacheSource>
  <cacheFields count="11">
    <cacheField name="Env" numFmtId="0">
      <sharedItems containsBlank="1" count="3">
        <s v="PROD"/>
        <s v="UAT"/>
        <m/>
      </sharedItems>
    </cacheField>
    <cacheField name="Location" numFmtId="0">
      <sharedItems containsBlank="1" count="3">
        <s v="FDC"/>
        <s v="RDC"/>
        <m/>
      </sharedItems>
    </cacheField>
    <cacheField name="Type" numFmtId="0">
      <sharedItems containsBlank="1"/>
    </cacheField>
    <cacheField name="LPAR Name" numFmtId="0">
      <sharedItems containsBlank="1"/>
    </cacheField>
    <cacheField name="Platform" numFmtId="0">
      <sharedItems containsBlank="1"/>
    </cacheField>
    <cacheField name="BLADE" numFmtId="0">
      <sharedItems containsString="0" containsBlank="1" containsNumber="1" containsInteger="1" minValue="1" maxValue="1"/>
    </cacheField>
    <cacheField name="Cores" numFmtId="0">
      <sharedItems containsString="0" containsBlank="1" containsNumber="1" containsInteger="1" minValue="1" maxValue="12"/>
    </cacheField>
    <cacheField name="RAM" numFmtId="0">
      <sharedItems containsString="0" containsBlank="1" containsNumber="1" containsInteger="1" minValue="4" maxValue="100"/>
    </cacheField>
    <cacheField name="DASD" numFmtId="0">
      <sharedItems containsString="0" containsBlank="1" containsNumber="1" containsInteger="1" minValue="33" maxValue="500"/>
    </cacheField>
    <cacheField name="Cluster _x000a_Disk" numFmtId="0">
      <sharedItems containsString="0" containsBlank="1" containsNumber="1" containsInteger="1" minValue="300" maxValue="800"/>
    </cacheField>
    <cacheField name="Softwar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647">
  <r>
    <s v="PCR-AVATAR"/>
    <m/>
    <m/>
    <m/>
    <m/>
    <m/>
    <m/>
    <m/>
    <m/>
    <m/>
    <m/>
    <m/>
    <e v="#NAME?"/>
    <x v="0"/>
    <m/>
    <m/>
    <x v="0"/>
    <s v="PROD"/>
    <m/>
    <m/>
    <m/>
    <s v="MQ"/>
    <s v="IBM WMQ x86, CA APM"/>
    <s v="AP"/>
    <s v="ESB"/>
    <s v="AP-ESB"/>
    <m/>
    <s v="Yes - Outside this BoM"/>
    <m/>
    <m/>
    <m/>
    <s v="a"/>
    <m/>
    <m/>
    <s v="FDCGCGMQMLA19P"/>
    <n v="1"/>
    <m/>
    <m/>
    <s v="BL620C G7"/>
    <s v="x86 Tier 3"/>
    <s v="x86"/>
    <m/>
    <s v="RHEL 5.9"/>
    <m/>
    <m/>
    <m/>
    <s v=""/>
    <m/>
    <m/>
    <m/>
    <m/>
    <m/>
    <m/>
    <m/>
    <m/>
    <m/>
    <m/>
    <m/>
    <m/>
    <m/>
    <m/>
    <m/>
    <n v="0"/>
    <n v="60"/>
    <x v="0"/>
    <m/>
    <x v="0"/>
    <m/>
    <m/>
    <x v="0"/>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72.118000000000009"/>
    <n v="6.7821249999999997"/>
    <n v="78.900125000000003"/>
    <n v="78.900125000000003"/>
    <n v="78.900125000000003"/>
    <n v="0"/>
    <n v="0"/>
    <n v="0"/>
    <n v="0"/>
    <n v="0"/>
    <n v="0"/>
    <n v="0"/>
    <n v="0"/>
    <n v="0"/>
    <n v="0"/>
    <n v="0"/>
    <n v="0"/>
    <n v="0"/>
    <n v="0"/>
    <n v="0"/>
  </r>
  <r>
    <s v="PCR-AVATAR"/>
    <m/>
    <m/>
    <m/>
    <m/>
    <m/>
    <m/>
    <m/>
    <m/>
    <m/>
    <m/>
    <m/>
    <e v="#NAME?"/>
    <x v="0"/>
    <m/>
    <m/>
    <x v="0"/>
    <s v="PROD"/>
    <m/>
    <m/>
    <m/>
    <s v="MQ"/>
    <s v="IBM WMQ x86, CA APM"/>
    <s v="AP"/>
    <s v="ESB"/>
    <s v="AP-ESB"/>
    <m/>
    <s v="Yes - Outside this BoM"/>
    <m/>
    <m/>
    <m/>
    <s v="a"/>
    <m/>
    <m/>
    <s v="FDCGCGMQMLA20P"/>
    <n v="1"/>
    <m/>
    <m/>
    <s v="BL620C G7"/>
    <s v="x86 Tier 3"/>
    <s v="x86"/>
    <m/>
    <s v="RHEL 5.9"/>
    <m/>
    <m/>
    <m/>
    <s v=""/>
    <m/>
    <m/>
    <m/>
    <m/>
    <m/>
    <m/>
    <m/>
    <m/>
    <m/>
    <m/>
    <m/>
    <m/>
    <m/>
    <m/>
    <m/>
    <n v="0"/>
    <n v="60"/>
    <x v="0"/>
    <m/>
    <x v="0"/>
    <m/>
    <m/>
    <x v="0"/>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72.118000000000009"/>
    <n v="6.7821249999999997"/>
    <n v="78.900125000000003"/>
    <n v="78.900125000000003"/>
    <n v="78.900125000000003"/>
    <n v="0"/>
    <n v="0"/>
    <n v="0"/>
    <n v="0"/>
    <n v="0"/>
    <n v="0"/>
    <n v="0"/>
    <n v="0"/>
    <n v="0"/>
    <n v="0"/>
    <n v="0"/>
    <n v="0"/>
    <n v="0"/>
    <n v="0"/>
    <n v="0"/>
  </r>
  <r>
    <s v="PCR-AVATAR"/>
    <m/>
    <m/>
    <m/>
    <m/>
    <m/>
    <m/>
    <m/>
    <m/>
    <m/>
    <m/>
    <m/>
    <e v="#NAME?"/>
    <x v="0"/>
    <m/>
    <m/>
    <x v="0"/>
    <s v="PROD"/>
    <m/>
    <m/>
    <m/>
    <s v="MQ"/>
    <s v="IBM WMQ x86, CA APM"/>
    <s v="AP"/>
    <s v="ESB"/>
    <s v="AP-ESB"/>
    <m/>
    <s v="Yes - Outside this BoM"/>
    <m/>
    <m/>
    <m/>
    <s v="a"/>
    <m/>
    <m/>
    <s v="FDCGCGMQMLA65P"/>
    <n v="1"/>
    <m/>
    <m/>
    <s v="BL620C G7"/>
    <s v="x86 Tier 3"/>
    <s v="x86"/>
    <m/>
    <s v="RHEL 5.9"/>
    <m/>
    <m/>
    <m/>
    <s v=""/>
    <m/>
    <m/>
    <m/>
    <m/>
    <m/>
    <m/>
    <m/>
    <m/>
    <m/>
    <m/>
    <m/>
    <m/>
    <m/>
    <m/>
    <m/>
    <n v="0"/>
    <n v="60"/>
    <x v="0"/>
    <m/>
    <x v="0"/>
    <m/>
    <m/>
    <x v="0"/>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72.118000000000009"/>
    <n v="6.7821249999999997"/>
    <n v="78.900125000000003"/>
    <n v="78.900125000000003"/>
    <n v="78.900125000000003"/>
    <n v="0"/>
    <n v="0"/>
    <n v="0"/>
    <n v="0"/>
    <n v="0"/>
    <n v="0"/>
    <n v="0"/>
    <n v="0"/>
    <n v="0"/>
    <n v="0"/>
    <n v="0"/>
    <n v="0"/>
    <n v="0"/>
    <n v="0"/>
    <n v="0"/>
  </r>
  <r>
    <s v="PCR-AVATAR"/>
    <m/>
    <m/>
    <m/>
    <m/>
    <m/>
    <m/>
    <m/>
    <m/>
    <m/>
    <m/>
    <m/>
    <e v="#NAME?"/>
    <x v="0"/>
    <m/>
    <m/>
    <x v="0"/>
    <s v="PROD"/>
    <m/>
    <m/>
    <m/>
    <s v="MQ"/>
    <s v="IBM WMQ x86, CA APM"/>
    <s v="AP"/>
    <s v="ESB"/>
    <s v="AP-ESB"/>
    <m/>
    <s v="Yes - Outside this BoM"/>
    <m/>
    <m/>
    <m/>
    <s v="a"/>
    <m/>
    <m/>
    <s v="FDCGCGMQMLA75P"/>
    <n v="1"/>
    <m/>
    <m/>
    <s v="BL620C G7"/>
    <s v="x86 Tier 3"/>
    <s v="x86"/>
    <m/>
    <s v="RHEL 5.9"/>
    <m/>
    <m/>
    <m/>
    <s v=""/>
    <m/>
    <m/>
    <m/>
    <m/>
    <m/>
    <m/>
    <m/>
    <m/>
    <m/>
    <m/>
    <m/>
    <m/>
    <m/>
    <m/>
    <m/>
    <n v="0"/>
    <n v="60"/>
    <x v="0"/>
    <m/>
    <x v="0"/>
    <m/>
    <m/>
    <x v="0"/>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72.118000000000009"/>
    <n v="6.7821249999999997"/>
    <n v="78.900125000000003"/>
    <n v="78.900125000000003"/>
    <n v="78.900125000000003"/>
    <n v="0"/>
    <n v="0"/>
    <n v="0"/>
    <n v="0"/>
    <n v="0"/>
    <n v="0"/>
    <n v="0"/>
    <n v="0"/>
    <n v="0"/>
    <n v="0"/>
    <n v="0"/>
    <n v="0"/>
    <n v="0"/>
    <n v="0"/>
    <n v="0"/>
  </r>
  <r>
    <s v="PCR-AVATAR"/>
    <m/>
    <m/>
    <m/>
    <m/>
    <m/>
    <m/>
    <m/>
    <m/>
    <m/>
    <m/>
    <m/>
    <e v="#NAME?"/>
    <x v="0"/>
    <m/>
    <m/>
    <x v="0"/>
    <s v="PROD"/>
    <m/>
    <m/>
    <m/>
    <s v="ESB [V5,V6], CMR, SNF - EMS"/>
    <s v="Veritas Cluster/CFS, TIBCO EMS, CA APM"/>
    <s v="AP"/>
    <s v="ESB"/>
    <s v="AP-ESB"/>
    <m/>
    <s v="Yes - Outside this BoM"/>
    <m/>
    <m/>
    <m/>
    <s v="a"/>
    <m/>
    <m/>
    <s v="FDCGCGTIBLA61P"/>
    <n v="1"/>
    <m/>
    <m/>
    <s v="BL620C G7"/>
    <s v="x86 Tier 3"/>
    <s v="x86"/>
    <m/>
    <s v="RHEL 5.9"/>
    <m/>
    <m/>
    <m/>
    <s v=""/>
    <m/>
    <m/>
    <m/>
    <m/>
    <m/>
    <m/>
    <m/>
    <m/>
    <m/>
    <m/>
    <m/>
    <m/>
    <m/>
    <m/>
    <m/>
    <n v="0"/>
    <n v="60"/>
    <x v="0"/>
    <m/>
    <x v="0"/>
    <n v="60"/>
    <m/>
    <x v="0"/>
    <n v="0"/>
    <m/>
    <n v="0"/>
    <m/>
    <m/>
    <n v="31.85"/>
    <n v="4.7774999999999999"/>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181.30600000000001"/>
    <n v="12.819624999999998"/>
    <n v="194.12562500000001"/>
    <n v="194.12562500000001"/>
    <n v="194.12562500000001"/>
    <n v="0"/>
    <n v="0"/>
    <n v="0"/>
    <n v="0"/>
    <n v="0"/>
    <n v="0"/>
    <n v="0"/>
    <n v="0"/>
    <n v="0"/>
    <n v="0"/>
    <n v="0"/>
    <n v="0"/>
    <n v="0"/>
    <n v="0"/>
    <n v="0"/>
  </r>
  <r>
    <s v="PCR-AVATAR"/>
    <m/>
    <m/>
    <m/>
    <m/>
    <m/>
    <m/>
    <m/>
    <m/>
    <m/>
    <m/>
    <m/>
    <e v="#NAME?"/>
    <x v="0"/>
    <m/>
    <m/>
    <x v="0"/>
    <s v="PROD"/>
    <m/>
    <m/>
    <m/>
    <s v="ESB [V5,V6], CMR, SNF - EMS"/>
    <s v="Veritas Cluster/CFS, TIBCO EMS, CA APM"/>
    <s v="AP"/>
    <s v="ESB"/>
    <s v="AP-ESB"/>
    <m/>
    <s v="Yes - Outside this BoM"/>
    <m/>
    <m/>
    <m/>
    <s v="a"/>
    <m/>
    <m/>
    <s v="FDCGCGTIBLA71P"/>
    <n v="1"/>
    <m/>
    <m/>
    <s v="BL620C G7"/>
    <s v="x86 Tier 3"/>
    <s v="x86"/>
    <m/>
    <s v="RHEL 5.9"/>
    <m/>
    <m/>
    <m/>
    <s v=""/>
    <m/>
    <m/>
    <m/>
    <m/>
    <m/>
    <m/>
    <m/>
    <m/>
    <m/>
    <m/>
    <m/>
    <m/>
    <m/>
    <m/>
    <m/>
    <n v="0"/>
    <n v="60"/>
    <x v="0"/>
    <m/>
    <x v="0"/>
    <m/>
    <m/>
    <x v="0"/>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72.118000000000009"/>
    <n v="6.7821249999999997"/>
    <n v="78.900125000000003"/>
    <n v="78.900125000000003"/>
    <n v="78.900125000000003"/>
    <n v="0"/>
    <n v="0"/>
    <n v="0"/>
    <n v="0"/>
    <n v="0"/>
    <n v="0"/>
    <n v="0"/>
    <n v="0"/>
    <n v="0"/>
    <n v="0"/>
    <n v="0"/>
    <n v="0"/>
    <n v="0"/>
    <n v="0"/>
    <n v="0"/>
  </r>
  <r>
    <s v="PCR-AVATAR"/>
    <m/>
    <m/>
    <m/>
    <m/>
    <m/>
    <m/>
    <m/>
    <m/>
    <m/>
    <m/>
    <m/>
    <e v="#NAME?"/>
    <x v="0"/>
    <m/>
    <m/>
    <x v="0"/>
    <s v="PROD"/>
    <m/>
    <m/>
    <m/>
    <s v="ESB [V5,V6], CMR, SNF - EMS"/>
    <s v="Veritas Cluster/CFS, TIBCO EMS, CA APM"/>
    <s v="AP"/>
    <s v="ESB"/>
    <s v="AP-ESB"/>
    <m/>
    <s v="Yes - Outside this BoM"/>
    <m/>
    <m/>
    <m/>
    <s v="a"/>
    <m/>
    <m/>
    <s v="FDCGCGTIBLA81P"/>
    <n v="1"/>
    <m/>
    <m/>
    <s v="BL620C G7"/>
    <s v="x86 Tier 3"/>
    <s v="x86"/>
    <m/>
    <s v="RHEL 5.9"/>
    <m/>
    <m/>
    <m/>
    <s v=""/>
    <m/>
    <m/>
    <m/>
    <m/>
    <m/>
    <m/>
    <m/>
    <m/>
    <m/>
    <m/>
    <m/>
    <m/>
    <m/>
    <m/>
    <m/>
    <n v="0"/>
    <n v="60"/>
    <x v="0"/>
    <m/>
    <x v="0"/>
    <n v="60"/>
    <m/>
    <x v="0"/>
    <n v="0"/>
    <m/>
    <n v="0"/>
    <m/>
    <m/>
    <n v="31.85"/>
    <n v="4.7774999999999999"/>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181.30600000000001"/>
    <n v="12.819624999999998"/>
    <n v="194.12562500000001"/>
    <n v="194.12562500000001"/>
    <n v="194.12562500000001"/>
    <n v="0"/>
    <n v="0"/>
    <n v="0"/>
    <n v="0"/>
    <n v="0"/>
    <n v="0"/>
    <n v="0"/>
    <n v="0"/>
    <n v="0"/>
    <n v="0"/>
    <n v="0"/>
    <n v="0"/>
    <n v="0"/>
    <n v="0"/>
    <n v="0"/>
  </r>
  <r>
    <s v="PCR-AVATAR"/>
    <m/>
    <m/>
    <m/>
    <m/>
    <m/>
    <m/>
    <m/>
    <m/>
    <m/>
    <m/>
    <m/>
    <e v="#NAME?"/>
    <x v="0"/>
    <m/>
    <m/>
    <x v="0"/>
    <s v="PROD"/>
    <m/>
    <m/>
    <m/>
    <s v="ESB [V5,V6], CMR, SNF - EMS"/>
    <s v="Veritas Cluster/CFS, TIBCO EMS, CA APM"/>
    <s v="AP"/>
    <s v="ESB"/>
    <s v="AP-ESB"/>
    <m/>
    <s v="Yes - Outside this BoM"/>
    <m/>
    <m/>
    <m/>
    <s v="a"/>
    <m/>
    <m/>
    <s v="FDCGCGTIBLA91P"/>
    <n v="1"/>
    <m/>
    <m/>
    <s v="BL620C G7"/>
    <s v="x86 Tier 3"/>
    <s v="x86"/>
    <m/>
    <s v="RHEL 5.9"/>
    <m/>
    <m/>
    <m/>
    <s v=""/>
    <m/>
    <m/>
    <m/>
    <m/>
    <m/>
    <m/>
    <m/>
    <m/>
    <m/>
    <m/>
    <m/>
    <m/>
    <m/>
    <m/>
    <m/>
    <n v="0"/>
    <n v="60"/>
    <x v="0"/>
    <m/>
    <x v="0"/>
    <m/>
    <m/>
    <x v="0"/>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72.118000000000009"/>
    <n v="6.7821249999999997"/>
    <n v="78.900125000000003"/>
    <n v="78.900125000000003"/>
    <n v="78.900125000000003"/>
    <n v="0"/>
    <n v="0"/>
    <n v="0"/>
    <n v="0"/>
    <n v="0"/>
    <n v="0"/>
    <n v="0"/>
    <n v="0"/>
    <n v="0"/>
    <n v="0"/>
    <n v="0"/>
    <n v="0"/>
    <n v="0"/>
    <n v="0"/>
    <n v="0"/>
  </r>
  <r>
    <s v="PCR-AVATAR"/>
    <m/>
    <m/>
    <m/>
    <m/>
    <m/>
    <m/>
    <m/>
    <m/>
    <m/>
    <m/>
    <m/>
    <e v="#NAME?"/>
    <x v="0"/>
    <m/>
    <m/>
    <x v="1"/>
    <s v="PROD"/>
    <m/>
    <m/>
    <m/>
    <s v="ESB-Digital - EMS"/>
    <s v="Veritas Cluster/CFS, TIBCO EMS, CA APM"/>
    <s v="AP"/>
    <s v="ESB"/>
    <s v="AP-ESB"/>
    <m/>
    <s v="No"/>
    <m/>
    <m/>
    <m/>
    <m/>
    <m/>
    <m/>
    <s v="FDC-DIG-ESB-EMS-SVR1"/>
    <n v="1"/>
    <m/>
    <m/>
    <s v="BL620C G7"/>
    <s v="x86 Tier 3"/>
    <s v="x86"/>
    <m/>
    <s v="RHEL 5.9"/>
    <n v="2"/>
    <m/>
    <n v="16"/>
    <s v=""/>
    <n v="256"/>
    <m/>
    <m/>
    <m/>
    <m/>
    <m/>
    <m/>
    <m/>
    <m/>
    <m/>
    <m/>
    <m/>
    <m/>
    <m/>
    <m/>
    <n v="337"/>
    <n v="120"/>
    <x v="1"/>
    <m/>
    <x v="1"/>
    <n v="120"/>
    <m/>
    <x v="0"/>
    <n v="0"/>
    <m/>
    <n v="0"/>
    <m/>
    <m/>
    <n v="147.94999999999999"/>
    <n v="22.192499999999999"/>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16"/>
    <n v="0"/>
    <n v="2"/>
    <m/>
    <n v="6359.75"/>
    <n v="899.755"/>
    <n v="1003.9"/>
    <n v="723.202"/>
    <n v="59.549874999999993"/>
    <n v="1786.6518749999998"/>
    <n v="8146.4018749999996"/>
    <n v="2686.4068749999997"/>
    <n v="1003.9"/>
    <n v="2"/>
    <n v="16"/>
    <n v="256"/>
    <n v="0"/>
    <n v="0"/>
    <n v="0"/>
    <n v="0"/>
    <n v="608"/>
    <n v="0"/>
    <n v="0"/>
    <n v="208.8"/>
    <n v="0"/>
    <n v="187.1"/>
    <n v="0"/>
  </r>
  <r>
    <s v="PCR-AVATAR"/>
    <m/>
    <m/>
    <m/>
    <m/>
    <m/>
    <m/>
    <m/>
    <m/>
    <m/>
    <m/>
    <m/>
    <e v="#NAME?"/>
    <x v="0"/>
    <m/>
    <m/>
    <x v="1"/>
    <s v="PROD"/>
    <m/>
    <m/>
    <m/>
    <s v="ESB-Digital - EMS"/>
    <s v="Veritas Cluster/CFS, TIBCO EMS, CA APM"/>
    <s v="AP"/>
    <s v="ESB"/>
    <s v="AP-ESB"/>
    <m/>
    <s v="No"/>
    <m/>
    <m/>
    <m/>
    <m/>
    <m/>
    <m/>
    <s v="FDC-DIG-ESB-EMS-SVR2"/>
    <n v="1"/>
    <m/>
    <m/>
    <s v="BL620C G7"/>
    <s v="x86 Tier 3"/>
    <s v="x86"/>
    <m/>
    <s v="RHEL 5.9"/>
    <n v="2"/>
    <m/>
    <n v="16"/>
    <s v=""/>
    <n v="256"/>
    <m/>
    <m/>
    <m/>
    <m/>
    <m/>
    <m/>
    <m/>
    <m/>
    <m/>
    <m/>
    <m/>
    <m/>
    <m/>
    <m/>
    <n v="337"/>
    <m/>
    <x v="2"/>
    <m/>
    <x v="2"/>
    <m/>
    <m/>
    <x v="0"/>
    <n v="0"/>
    <m/>
    <n v="0"/>
    <m/>
    <m/>
    <n v="84.25"/>
    <n v="12.637499999999999"/>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16"/>
    <n v="0"/>
    <n v="2"/>
    <m/>
    <m/>
    <m/>
    <n v="1003.9"/>
    <n v="360.59000000000003"/>
    <n v="33.910624999999996"/>
    <n v="1398.400625"/>
    <n v="1398.400625"/>
    <n v="1398.400625"/>
    <n v="1003.9"/>
    <n v="2"/>
    <n v="16"/>
    <n v="256"/>
    <n v="0"/>
    <n v="0"/>
    <n v="0"/>
    <n v="0"/>
    <n v="608"/>
    <n v="0"/>
    <n v="0"/>
    <n v="208.8"/>
    <n v="0"/>
    <n v="187.1"/>
    <n v="0"/>
  </r>
  <r>
    <s v="PCR-AVATAR"/>
    <m/>
    <m/>
    <m/>
    <m/>
    <m/>
    <m/>
    <m/>
    <m/>
    <m/>
    <m/>
    <m/>
    <e v="#NAME?"/>
    <x v="0"/>
    <m/>
    <m/>
    <x v="1"/>
    <s v="PROD"/>
    <m/>
    <m/>
    <m/>
    <s v="ESB-Digital - EMS"/>
    <s v="Veritas Cluster/CFS, TIBCO EMS, CA APM"/>
    <s v="AP"/>
    <s v="ESB"/>
    <s v="AP-ESB"/>
    <m/>
    <s v="No"/>
    <m/>
    <m/>
    <m/>
    <m/>
    <m/>
    <m/>
    <s v="FDC-DIG-ESB-EMS-SVR3"/>
    <n v="1"/>
    <m/>
    <m/>
    <s v="BL620C G7"/>
    <s v="x86 Tier 3"/>
    <s v="x86"/>
    <m/>
    <s v="RHEL 5.9"/>
    <n v="2"/>
    <m/>
    <n v="16"/>
    <s v=""/>
    <n v="256"/>
    <m/>
    <m/>
    <m/>
    <m/>
    <m/>
    <m/>
    <m/>
    <m/>
    <m/>
    <m/>
    <m/>
    <m/>
    <m/>
    <m/>
    <n v="337"/>
    <n v="120"/>
    <x v="1"/>
    <m/>
    <x v="1"/>
    <n v="120"/>
    <m/>
    <x v="0"/>
    <n v="0"/>
    <m/>
    <n v="0"/>
    <m/>
    <m/>
    <n v="147.94999999999999"/>
    <n v="22.192499999999999"/>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16"/>
    <n v="0"/>
    <n v="2"/>
    <m/>
    <m/>
    <m/>
    <n v="1003.9"/>
    <n v="723.202"/>
    <n v="59.549874999999993"/>
    <n v="1786.6518749999998"/>
    <n v="1786.6518749999998"/>
    <n v="1786.6518749999998"/>
    <n v="1003.9"/>
    <n v="2"/>
    <n v="16"/>
    <n v="256"/>
    <n v="0"/>
    <n v="0"/>
    <n v="0"/>
    <n v="0"/>
    <n v="608"/>
    <n v="0"/>
    <n v="0"/>
    <n v="208.8"/>
    <n v="0"/>
    <n v="187.1"/>
    <n v="0"/>
  </r>
  <r>
    <s v="PCR-AVATAR"/>
    <m/>
    <m/>
    <m/>
    <m/>
    <m/>
    <m/>
    <m/>
    <m/>
    <m/>
    <m/>
    <m/>
    <e v="#NAME?"/>
    <x v="0"/>
    <m/>
    <m/>
    <x v="1"/>
    <s v="PROD"/>
    <m/>
    <m/>
    <m/>
    <s v="ESB-Digital - EMS"/>
    <s v="Veritas Cluster/CFS, TIBCO EMS, CA APM"/>
    <s v="AP"/>
    <s v="ESB"/>
    <s v="AP-ESB"/>
    <m/>
    <s v="No"/>
    <m/>
    <m/>
    <m/>
    <m/>
    <m/>
    <m/>
    <s v="FDC-DIG-ESB-EMS-SVR4"/>
    <n v="1"/>
    <m/>
    <m/>
    <s v="BL620C G7"/>
    <s v="x86 Tier 3"/>
    <s v="x86"/>
    <m/>
    <s v="RHEL 5.9"/>
    <n v="2"/>
    <m/>
    <n v="16"/>
    <s v=""/>
    <n v="256"/>
    <m/>
    <m/>
    <m/>
    <m/>
    <m/>
    <m/>
    <m/>
    <m/>
    <m/>
    <m/>
    <m/>
    <m/>
    <m/>
    <m/>
    <n v="337"/>
    <m/>
    <x v="2"/>
    <m/>
    <x v="2"/>
    <m/>
    <m/>
    <x v="0"/>
    <n v="0"/>
    <m/>
    <n v="0"/>
    <m/>
    <m/>
    <n v="84.25"/>
    <n v="12.637499999999999"/>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16"/>
    <n v="0"/>
    <n v="2"/>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1"/>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n v="3750"/>
    <n v="525"/>
    <n v="1003.9"/>
    <n v="360.59000000000003"/>
    <n v="33.910624999999996"/>
    <n v="1398.400625"/>
    <n v="5148.4006250000002"/>
    <n v="1923.400625"/>
    <n v="1003.9"/>
    <n v="2"/>
    <n v="16"/>
    <n v="256"/>
    <n v="0"/>
    <n v="0"/>
    <n v="0"/>
    <n v="0"/>
    <n v="608"/>
    <n v="0"/>
    <n v="0"/>
    <n v="208.8"/>
    <n v="0"/>
    <n v="187.1"/>
    <n v="0"/>
  </r>
  <r>
    <s v="PCR-AVATAR"/>
    <m/>
    <m/>
    <m/>
    <m/>
    <m/>
    <m/>
    <m/>
    <m/>
    <m/>
    <m/>
    <m/>
    <e v="#NAME?"/>
    <x v="0"/>
    <m/>
    <m/>
    <x v="1"/>
    <s v="PROD"/>
    <m/>
    <m/>
    <m/>
    <s v="ESB-Digital -BW"/>
    <s v="TIBCO BW, CA APM"/>
    <s v="AP"/>
    <s v="ESB"/>
    <s v="AP-ESB"/>
    <m/>
    <s v="No"/>
    <m/>
    <m/>
    <m/>
    <m/>
    <m/>
    <m/>
    <s v="FDC-DIG-ESB-BW-SVR2"/>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3"/>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4"/>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5"/>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6"/>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7"/>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8"/>
    <n v="1"/>
    <m/>
    <m/>
    <s v="BL620C G7"/>
    <s v="x86 Tier 3"/>
    <s v="x86"/>
    <m/>
    <s v="RHEL 5.9"/>
    <n v="2"/>
    <m/>
    <n v="16"/>
    <s v=""/>
    <n v="256"/>
    <m/>
    <m/>
    <m/>
    <m/>
    <m/>
    <m/>
    <m/>
    <m/>
    <m/>
    <m/>
    <m/>
    <m/>
    <m/>
    <m/>
    <n v="337"/>
    <m/>
    <x v="2"/>
    <m/>
    <x v="2"/>
    <m/>
    <m/>
    <x v="0"/>
    <n v="0"/>
    <m/>
    <n v="0"/>
    <m/>
    <m/>
    <n v="84.25"/>
    <n v="12.637499999999999"/>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9"/>
    <n v="1"/>
    <m/>
    <m/>
    <s v="BL620C G7"/>
    <s v="x86 Tier 3"/>
    <s v="x86"/>
    <m/>
    <s v="RHEL 5.9"/>
    <n v="2"/>
    <m/>
    <n v="16"/>
    <s v=""/>
    <n v="256"/>
    <m/>
    <m/>
    <m/>
    <m/>
    <m/>
    <m/>
    <m/>
    <m/>
    <m/>
    <m/>
    <m/>
    <m/>
    <m/>
    <m/>
    <n v="337"/>
    <m/>
    <x v="2"/>
    <m/>
    <x v="2"/>
    <m/>
    <m/>
    <x v="0"/>
    <n v="0"/>
    <m/>
    <n v="0"/>
    <m/>
    <m/>
    <n v="84.25"/>
    <n v="12.637499999999999"/>
    <m/>
    <m/>
    <m/>
    <m/>
    <m/>
    <m/>
    <m/>
    <m/>
    <m/>
    <m/>
    <m/>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10"/>
    <n v="1"/>
    <m/>
    <m/>
    <s v="BL620C G7"/>
    <s v="x86 Tier 3"/>
    <s v="x86"/>
    <m/>
    <s v="RHEL 5.9"/>
    <n v="2"/>
    <m/>
    <n v="16"/>
    <s v=""/>
    <n v="256"/>
    <m/>
    <m/>
    <m/>
    <m/>
    <m/>
    <m/>
    <m/>
    <m/>
    <m/>
    <m/>
    <m/>
    <m/>
    <m/>
    <m/>
    <n v="337"/>
    <m/>
    <x v="2"/>
    <m/>
    <x v="2"/>
    <m/>
    <m/>
    <x v="0"/>
    <n v="0"/>
    <m/>
    <n v="0"/>
    <m/>
    <m/>
    <n v="84.25"/>
    <n v="12.637499999999999"/>
    <m/>
    <m/>
    <m/>
    <m/>
    <m/>
    <m/>
    <m/>
    <m/>
    <m/>
    <m/>
    <m/>
    <m/>
    <n v="0"/>
    <n v="1"/>
    <n v="0"/>
    <n v="0"/>
    <n v="0"/>
    <n v="0"/>
    <n v="0"/>
    <n v="0"/>
    <n v="0"/>
    <n v="0"/>
    <n v="0"/>
    <n v="0"/>
    <n v="0"/>
    <n v="0"/>
    <n v="0"/>
    <n v="0"/>
    <n v="0"/>
    <n v="0"/>
    <n v="0"/>
    <n v="0"/>
    <n v="0"/>
    <n v="0"/>
    <n v="0"/>
    <n v="0"/>
    <n v="0"/>
    <n v="0"/>
    <n v="0"/>
    <n v="0"/>
    <n v="0"/>
    <n v="0"/>
    <n v="0"/>
    <n v="0"/>
    <n v="0"/>
    <n v="0"/>
    <n v="0"/>
    <n v="0"/>
    <n v="0"/>
    <n v="0"/>
    <n v="0"/>
    <n v="0"/>
    <n v="0"/>
    <n v="0"/>
    <n v="0"/>
    <n v="0"/>
    <n v="0"/>
    <n v="0"/>
    <n v="0"/>
    <n v="0"/>
    <n v="16"/>
    <n v="0"/>
    <n v="0"/>
    <n v="0"/>
    <m/>
    <n v="3750"/>
    <n v="525"/>
    <n v="1003.9"/>
    <n v="360.59000000000003"/>
    <n v="33.910624999999996"/>
    <n v="1398.400625"/>
    <n v="5148.4006250000002"/>
    <n v="1923.400625"/>
    <n v="1003.9"/>
    <n v="2"/>
    <n v="16"/>
    <n v="256"/>
    <n v="0"/>
    <n v="0"/>
    <n v="0"/>
    <n v="0"/>
    <n v="608"/>
    <n v="0"/>
    <n v="0"/>
    <n v="208.8"/>
    <n v="0"/>
    <n v="187.1"/>
    <n v="0"/>
  </r>
  <r>
    <s v="PCR-AVATAR"/>
    <m/>
    <m/>
    <m/>
    <m/>
    <m/>
    <m/>
    <m/>
    <m/>
    <m/>
    <m/>
    <m/>
    <e v="#NAME?"/>
    <x v="0"/>
    <m/>
    <m/>
    <x v="1"/>
    <s v="PROD"/>
    <m/>
    <m/>
    <m/>
    <s v="ESB-Digital -BW"/>
    <s v="TIBCO BW, CA APM"/>
    <s v="AP"/>
    <s v="ESB"/>
    <s v="AP-ESB"/>
    <m/>
    <s v="No"/>
    <m/>
    <m/>
    <m/>
    <m/>
    <m/>
    <m/>
    <s v="FDC-DIG-ESB-BW-SVR11"/>
    <n v="1"/>
    <m/>
    <m/>
    <s v="BL620C G7"/>
    <s v="x86 Tier 3"/>
    <s v="x86"/>
    <m/>
    <s v="RHEL 5.9"/>
    <n v="2"/>
    <m/>
    <n v="16"/>
    <m/>
    <n v="256"/>
    <m/>
    <m/>
    <m/>
    <m/>
    <m/>
    <m/>
    <m/>
    <m/>
    <m/>
    <m/>
    <m/>
    <m/>
    <m/>
    <m/>
    <n v="337"/>
    <m/>
    <x v="2"/>
    <m/>
    <x v="2"/>
    <m/>
    <m/>
    <x v="0"/>
    <n v="0"/>
    <m/>
    <n v="0"/>
    <m/>
    <m/>
    <n v="84.25"/>
    <n v="12.637499999999999"/>
    <m/>
    <m/>
    <m/>
    <m/>
    <m/>
    <m/>
    <m/>
    <m/>
    <m/>
    <m/>
    <m/>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ESB-Digital -BW"/>
    <s v="TIBCO BW, CA APM"/>
    <s v="AP"/>
    <s v="ESB"/>
    <s v="AP-ESB"/>
    <m/>
    <s v="No"/>
    <m/>
    <m/>
    <m/>
    <m/>
    <m/>
    <m/>
    <s v="FDC-DIG-ESB-BW-SVR12"/>
    <n v="1"/>
    <m/>
    <m/>
    <s v="BL620C G7"/>
    <s v="x86 Tier 3"/>
    <s v="x86"/>
    <m/>
    <s v="RHEL 5.9"/>
    <n v="2"/>
    <m/>
    <n v="16"/>
    <m/>
    <n v="256"/>
    <m/>
    <m/>
    <m/>
    <m/>
    <m/>
    <m/>
    <m/>
    <m/>
    <m/>
    <m/>
    <m/>
    <m/>
    <m/>
    <m/>
    <n v="337"/>
    <m/>
    <x v="2"/>
    <m/>
    <x v="2"/>
    <m/>
    <m/>
    <x v="0"/>
    <n v="0"/>
    <m/>
    <n v="0"/>
    <m/>
    <m/>
    <n v="84.25"/>
    <n v="12.637499999999999"/>
    <m/>
    <m/>
    <m/>
    <m/>
    <m/>
    <m/>
    <m/>
    <m/>
    <m/>
    <m/>
    <m/>
    <m/>
    <n v="0"/>
    <n v="1"/>
    <n v="0"/>
    <n v="0"/>
    <n v="0"/>
    <n v="0"/>
    <n v="0"/>
    <n v="0"/>
    <n v="0"/>
    <n v="0"/>
    <n v="0"/>
    <n v="0"/>
    <n v="0"/>
    <n v="0"/>
    <n v="0"/>
    <n v="0"/>
    <n v="0"/>
    <n v="0"/>
    <n v="0"/>
    <n v="0"/>
    <n v="0"/>
    <n v="0"/>
    <n v="0"/>
    <n v="0"/>
    <n v="0"/>
    <n v="0"/>
    <n v="0"/>
    <n v="0"/>
    <n v="0"/>
    <n v="0"/>
    <n v="0"/>
    <n v="0"/>
    <n v="0"/>
    <n v="0"/>
    <n v="0"/>
    <n v="0"/>
    <n v="0"/>
    <n v="0"/>
    <n v="0"/>
    <n v="0"/>
    <n v="0"/>
    <n v="0"/>
    <n v="0"/>
    <n v="0"/>
    <n v="0"/>
    <n v="0"/>
    <n v="0"/>
    <n v="0"/>
    <n v="16"/>
    <n v="0"/>
    <n v="0"/>
    <n v="0"/>
    <m/>
    <m/>
    <m/>
    <n v="1003.9"/>
    <n v="360.59000000000003"/>
    <n v="33.910624999999996"/>
    <n v="1398.400625"/>
    <n v="1398.400625"/>
    <n v="1398.400625"/>
    <n v="1003.9"/>
    <n v="2"/>
    <n v="16"/>
    <n v="256"/>
    <n v="0"/>
    <n v="0"/>
    <n v="0"/>
    <n v="0"/>
    <n v="608"/>
    <n v="0"/>
    <n v="0"/>
    <n v="208.8"/>
    <n v="0"/>
    <n v="187.1"/>
    <n v="0"/>
  </r>
  <r>
    <s v="PCR-AVATAR"/>
    <m/>
    <m/>
    <m/>
    <m/>
    <m/>
    <m/>
    <m/>
    <m/>
    <m/>
    <m/>
    <m/>
    <e v="#NAME?"/>
    <x v="0"/>
    <m/>
    <m/>
    <x v="1"/>
    <s v="PROD"/>
    <m/>
    <m/>
    <m/>
    <s v="Oracle RAC - ESB"/>
    <s v="Oracle RAC pSeries"/>
    <s v="DB"/>
    <s v="ESB"/>
    <s v="DB-ESB"/>
    <m/>
    <s v="Yes - Outside this BoM"/>
    <m/>
    <m/>
    <m/>
    <s v="a"/>
    <m/>
    <m/>
    <s v="fdcgcgracad14p"/>
    <n v="1"/>
    <m/>
    <m/>
    <s v="IBM p7 p795"/>
    <s v="IBM P-Series Tier 2"/>
    <s v="pSeries"/>
    <m/>
    <s v="AIX 6.1"/>
    <m/>
    <m/>
    <m/>
    <m/>
    <m/>
    <m/>
    <m/>
    <m/>
    <m/>
    <m/>
    <m/>
    <m/>
    <m/>
    <m/>
    <m/>
    <m/>
    <m/>
    <m/>
    <m/>
    <n v="0"/>
    <n v="100"/>
    <x v="3"/>
    <m/>
    <x v="3"/>
    <n v="100"/>
    <m/>
    <x v="0"/>
    <n v="0"/>
    <m/>
    <n v="0"/>
    <m/>
    <m/>
    <n v="50.275000000000006"/>
    <n v="7.5412500000000007"/>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271.95900000000006"/>
    <n v="20.235687500000001"/>
    <n v="292.19468750000004"/>
    <n v="292.19468750000004"/>
    <n v="292.19468750000004"/>
    <n v="0"/>
    <n v="0"/>
    <n v="0"/>
    <n v="0"/>
    <n v="0"/>
    <n v="0"/>
    <n v="0"/>
    <n v="0"/>
    <n v="0"/>
    <n v="0"/>
    <n v="0"/>
    <n v="0"/>
    <n v="0"/>
    <n v="0"/>
    <n v="0"/>
  </r>
  <r>
    <s v="PCR-AVATAR"/>
    <m/>
    <m/>
    <m/>
    <m/>
    <m/>
    <m/>
    <m/>
    <m/>
    <m/>
    <m/>
    <m/>
    <e v="#NAME?"/>
    <x v="0"/>
    <m/>
    <m/>
    <x v="1"/>
    <s v="PROD"/>
    <m/>
    <m/>
    <m/>
    <s v="Oracle RAC - ESB,"/>
    <s v="Oracle RAC pSeries"/>
    <s v="DB"/>
    <s v="ESB"/>
    <s v="DB-ESB"/>
    <m/>
    <s v="Yes - Outside this BoM"/>
    <m/>
    <m/>
    <m/>
    <s v="a"/>
    <m/>
    <m/>
    <s v="fdcgcgracad15p"/>
    <n v="1"/>
    <m/>
    <m/>
    <s v="IBM p7 p795"/>
    <s v="IBM P-Series Tier 2"/>
    <s v="pSeries"/>
    <m/>
    <s v="AIX 6.1"/>
    <m/>
    <m/>
    <m/>
    <m/>
    <m/>
    <m/>
    <m/>
    <m/>
    <m/>
    <m/>
    <m/>
    <m/>
    <m/>
    <m/>
    <m/>
    <m/>
    <m/>
    <m/>
    <m/>
    <n v="0"/>
    <m/>
    <x v="4"/>
    <m/>
    <x v="4"/>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1"/>
    <s v="PROD"/>
    <m/>
    <m/>
    <m/>
    <s v="Dataguard- Oracle RAC-ESB"/>
    <s v="Oracle RAC pSeries"/>
    <s v="DB"/>
    <s v="ESB"/>
    <s v="DB-ESB"/>
    <m/>
    <s v="Yes - Outside this BoM"/>
    <m/>
    <m/>
    <m/>
    <s v="a"/>
    <m/>
    <m/>
    <s v="fdcgcgdtgad14p"/>
    <n v="1"/>
    <m/>
    <m/>
    <s v="IBM p7 p795"/>
    <s v="IBM P-Series Tier 2"/>
    <s v="pSeries"/>
    <m/>
    <s v="AIX 6.1"/>
    <m/>
    <m/>
    <m/>
    <m/>
    <m/>
    <m/>
    <m/>
    <m/>
    <m/>
    <m/>
    <m/>
    <m/>
    <m/>
    <m/>
    <m/>
    <m/>
    <m/>
    <m/>
    <m/>
    <n v="0"/>
    <n v="100"/>
    <x v="3"/>
    <m/>
    <x v="3"/>
    <n v="100"/>
    <m/>
    <x v="0"/>
    <n v="0"/>
    <m/>
    <n v="0"/>
    <m/>
    <m/>
    <n v="50.275000000000006"/>
    <n v="7.5412500000000007"/>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271.95900000000006"/>
    <n v="20.235687500000001"/>
    <n v="292.19468750000004"/>
    <n v="292.19468750000004"/>
    <n v="292.19468750000004"/>
    <n v="0"/>
    <n v="0"/>
    <n v="0"/>
    <n v="0"/>
    <n v="0"/>
    <n v="0"/>
    <n v="0"/>
    <n v="0"/>
    <n v="0"/>
    <n v="0"/>
    <n v="0"/>
    <n v="0"/>
    <n v="0"/>
    <n v="0"/>
    <n v="0"/>
  </r>
  <r>
    <s v="PCR-AVATAR"/>
    <m/>
    <m/>
    <m/>
    <m/>
    <m/>
    <m/>
    <m/>
    <m/>
    <m/>
    <m/>
    <m/>
    <e v="#NAME?"/>
    <x v="0"/>
    <m/>
    <m/>
    <x v="1"/>
    <s v="PROD"/>
    <m/>
    <m/>
    <m/>
    <s v="Oracle HACMP  - Tibco, RMAN"/>
    <s v="Oracle Standalone"/>
    <s v="DB"/>
    <s v="ESB"/>
    <s v="DB-ESB"/>
    <m/>
    <s v="Yes - Outside this BoM"/>
    <m/>
    <m/>
    <m/>
    <s v="a"/>
    <m/>
    <m/>
    <s v="fdcgcgticad01p"/>
    <n v="1"/>
    <m/>
    <m/>
    <s v="IBM p7 p795"/>
    <s v="IBM P-Series Tier 2"/>
    <s v="pSeries"/>
    <m/>
    <s v="AIX 6.1"/>
    <m/>
    <m/>
    <m/>
    <m/>
    <m/>
    <m/>
    <m/>
    <m/>
    <m/>
    <m/>
    <m/>
    <m/>
    <m/>
    <m/>
    <m/>
    <m/>
    <m/>
    <m/>
    <m/>
    <n v="0"/>
    <n v="100"/>
    <x v="3"/>
    <m/>
    <x v="3"/>
    <n v="100"/>
    <m/>
    <x v="0"/>
    <n v="0"/>
    <m/>
    <n v="0"/>
    <m/>
    <m/>
    <n v="50.275000000000006"/>
    <n v="7.5412500000000007"/>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271.95900000000006"/>
    <n v="20.235687500000001"/>
    <n v="292.19468750000004"/>
    <n v="292.19468750000004"/>
    <n v="292.19468750000004"/>
    <n v="0"/>
    <n v="0"/>
    <n v="0"/>
    <n v="0"/>
    <n v="0"/>
    <n v="0"/>
    <n v="0"/>
    <n v="0"/>
    <n v="0"/>
    <n v="0"/>
    <n v="0"/>
    <n v="0"/>
    <n v="0"/>
    <n v="0"/>
    <n v="0"/>
  </r>
  <r>
    <s v="PCR-AVATAR"/>
    <m/>
    <m/>
    <m/>
    <m/>
    <m/>
    <m/>
    <m/>
    <m/>
    <m/>
    <m/>
    <m/>
    <e v="#NAME?"/>
    <x v="0"/>
    <m/>
    <m/>
    <x v="1"/>
    <s v="PROD"/>
    <m/>
    <m/>
    <m/>
    <s v="Oracle HACMP - Tibco, RMAN"/>
    <s v="Oracle Standalone"/>
    <s v="DB"/>
    <s v="ESB"/>
    <s v="DB-ESB"/>
    <m/>
    <s v="Yes - Outside this BoM"/>
    <m/>
    <m/>
    <m/>
    <s v="a"/>
    <m/>
    <m/>
    <s v="fdcgcgticad02p"/>
    <n v="1"/>
    <m/>
    <m/>
    <s v="IBM p7 p795"/>
    <s v="IBM P-Series Tier 2"/>
    <s v="pSeries"/>
    <m/>
    <s v="AIX 6.1"/>
    <m/>
    <m/>
    <m/>
    <m/>
    <m/>
    <m/>
    <m/>
    <m/>
    <m/>
    <m/>
    <m/>
    <m/>
    <m/>
    <m/>
    <m/>
    <m/>
    <m/>
    <m/>
    <m/>
    <n v="0"/>
    <m/>
    <x v="4"/>
    <m/>
    <x v="4"/>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0"/>
    <n v="0"/>
    <n v="0"/>
    <n v="0"/>
    <n v="0"/>
    <n v="0"/>
    <n v="0"/>
    <n v="0"/>
    <n v="0"/>
    <n v="0"/>
    <n v="0"/>
    <n v="0"/>
    <n v="0"/>
    <n v="0"/>
    <n v="0"/>
    <n v="0"/>
    <n v="0"/>
    <n v="0"/>
    <n v="0"/>
    <n v="0"/>
  </r>
  <r>
    <s v="PCR-AVATAR"/>
    <m/>
    <m/>
    <m/>
    <m/>
    <m/>
    <m/>
    <m/>
    <m/>
    <m/>
    <m/>
    <m/>
    <e v="#NAME?"/>
    <x v="0"/>
    <m/>
    <m/>
    <x v="2"/>
    <s v="PROD"/>
    <m/>
    <m/>
    <m/>
    <s v="Oracle RAC - ESB"/>
    <s v="Oracle RAC pSeries"/>
    <s v="DB"/>
    <s v="ESB"/>
    <s v="DB-ESB"/>
    <m/>
    <s v="Yes - Outside this BoM"/>
    <m/>
    <m/>
    <m/>
    <s v="a"/>
    <m/>
    <m/>
    <s v="fdcgcgracad31p"/>
    <n v="1"/>
    <m/>
    <m/>
    <s v="IBM p7 p795"/>
    <s v="IBM P-Series Tier 2"/>
    <s v="pSeries"/>
    <m/>
    <s v="AIX 6.1"/>
    <n v="2"/>
    <m/>
    <n v="2"/>
    <m/>
    <n v="128"/>
    <m/>
    <m/>
    <m/>
    <m/>
    <m/>
    <m/>
    <m/>
    <m/>
    <m/>
    <m/>
    <m/>
    <m/>
    <m/>
    <m/>
    <n v="0"/>
    <n v="1300"/>
    <x v="5"/>
    <m/>
    <x v="5"/>
    <n v="1000"/>
    <m/>
    <x v="1"/>
    <n v="0"/>
    <m/>
    <n v="0"/>
    <m/>
    <m/>
    <n v="578.57500000000005"/>
    <n v="86.78625000000001"/>
    <m/>
    <m/>
    <m/>
    <m/>
    <m/>
    <m/>
    <m/>
    <m/>
    <m/>
    <m/>
    <m/>
    <m/>
    <n v="0"/>
    <n v="0"/>
    <n v="0"/>
    <n v="0"/>
    <n v="0"/>
    <n v="0"/>
    <n v="0"/>
    <n v="0"/>
    <n v="0"/>
    <n v="0"/>
    <n v="0"/>
    <n v="0"/>
    <n v="0"/>
    <n v="0"/>
    <n v="0"/>
    <n v="0"/>
    <n v="0"/>
    <n v="0"/>
    <n v="0"/>
    <n v="0"/>
    <n v="0"/>
    <n v="0"/>
    <n v="0"/>
    <n v="0"/>
    <n v="0"/>
    <n v="0"/>
    <n v="0"/>
    <n v="0"/>
    <n v="0"/>
    <n v="0"/>
    <n v="0"/>
    <n v="0"/>
    <n v="0"/>
    <n v="0"/>
    <n v="0"/>
    <n v="2"/>
    <n v="0"/>
    <n v="0"/>
    <n v="0"/>
    <n v="0"/>
    <n v="0"/>
    <n v="0"/>
    <n v="0"/>
    <n v="0"/>
    <n v="0"/>
    <n v="0"/>
    <n v="0"/>
    <n v="0"/>
    <n v="0"/>
    <n v="0"/>
    <n v="0"/>
    <n v="0"/>
    <m/>
    <n v="359.30500000000001"/>
    <n v="62.913333333333334"/>
    <n v="2522"/>
    <n v="1602.4350000000002"/>
    <n v="232.87643750000001"/>
    <n v="4357.3114375000005"/>
    <n v="4716.6164375000008"/>
    <n v="4420.2247708333334"/>
    <n v="2522"/>
    <n v="2"/>
    <n v="2"/>
    <n v="128"/>
    <n v="0"/>
    <n v="0"/>
    <n v="0"/>
    <n v="0"/>
    <n v="1658"/>
    <n v="0"/>
    <n v="0"/>
    <n v="864"/>
    <n v="0"/>
    <n v="0"/>
    <n v="0"/>
  </r>
  <r>
    <s v="PCR-AVATAR"/>
    <m/>
    <m/>
    <m/>
    <m/>
    <m/>
    <m/>
    <m/>
    <m/>
    <m/>
    <m/>
    <m/>
    <e v="#NAME?"/>
    <x v="0"/>
    <m/>
    <m/>
    <x v="2"/>
    <s v="PROD"/>
    <m/>
    <m/>
    <m/>
    <s v="Oracle RAC - ESB"/>
    <s v="Oracle RAC pSeries"/>
    <s v="DB"/>
    <s v="ESB"/>
    <s v="DB-ESB"/>
    <m/>
    <s v="Yes - Outside this BoM"/>
    <m/>
    <m/>
    <m/>
    <s v="a"/>
    <m/>
    <m/>
    <s v="fdcgcgracad32p"/>
    <n v="1"/>
    <m/>
    <m/>
    <s v="IBM p7 p795"/>
    <s v="IBM P-Series Tier 2"/>
    <s v="pSeries"/>
    <m/>
    <s v="AIX 6.1"/>
    <n v="2"/>
    <m/>
    <n v="2"/>
    <m/>
    <n v="128"/>
    <m/>
    <m/>
    <m/>
    <m/>
    <m/>
    <m/>
    <m/>
    <m/>
    <m/>
    <m/>
    <m/>
    <m/>
    <m/>
    <m/>
    <n v="0"/>
    <n v="300"/>
    <x v="6"/>
    <m/>
    <x v="6"/>
    <m/>
    <m/>
    <x v="1"/>
    <n v="0"/>
    <m/>
    <n v="0"/>
    <m/>
    <m/>
    <n v="75.825000000000003"/>
    <n v="11.373749999999999"/>
    <m/>
    <m/>
    <m/>
    <m/>
    <m/>
    <m/>
    <m/>
    <m/>
    <m/>
    <m/>
    <m/>
    <m/>
    <n v="0"/>
    <n v="0"/>
    <n v="0"/>
    <n v="0"/>
    <n v="0"/>
    <n v="0"/>
    <n v="0"/>
    <n v="0"/>
    <n v="0"/>
    <n v="0"/>
    <n v="0"/>
    <n v="0"/>
    <n v="0"/>
    <n v="0"/>
    <n v="0"/>
    <n v="0"/>
    <n v="0"/>
    <n v="0"/>
    <n v="0"/>
    <n v="0"/>
    <n v="0"/>
    <n v="0"/>
    <n v="0"/>
    <n v="0"/>
    <n v="0"/>
    <n v="0"/>
    <n v="0"/>
    <n v="0"/>
    <n v="0"/>
    <n v="0"/>
    <n v="0"/>
    <n v="0"/>
    <n v="0"/>
    <n v="0"/>
    <n v="0"/>
    <n v="2"/>
    <n v="0"/>
    <n v="0"/>
    <n v="0"/>
    <n v="0"/>
    <n v="0"/>
    <n v="0"/>
    <n v="0"/>
    <n v="0"/>
    <n v="0"/>
    <n v="0"/>
    <n v="0"/>
    <n v="0"/>
    <n v="0"/>
    <n v="0"/>
    <n v="0"/>
    <n v="0"/>
    <m/>
    <n v="359.30500000000001"/>
    <n v="62.913333333333334"/>
    <n v="2522"/>
    <n v="136.48500000000001"/>
    <n v="30.519562499999999"/>
    <n v="2689.0045625000002"/>
    <n v="3048.3095625000001"/>
    <n v="2751.9178958333337"/>
    <n v="2522"/>
    <n v="2"/>
    <n v="2"/>
    <n v="128"/>
    <n v="0"/>
    <n v="0"/>
    <n v="0"/>
    <n v="0"/>
    <n v="1658"/>
    <n v="0"/>
    <n v="0"/>
    <n v="864"/>
    <n v="0"/>
    <n v="0"/>
    <n v="0"/>
  </r>
  <r>
    <s v="PCR-AVATAR"/>
    <m/>
    <m/>
    <m/>
    <m/>
    <m/>
    <m/>
    <m/>
    <m/>
    <m/>
    <m/>
    <m/>
    <e v="#NAME?"/>
    <x v="0"/>
    <m/>
    <m/>
    <x v="2"/>
    <s v="PROD"/>
    <m/>
    <m/>
    <m/>
    <s v="ESB-PAT-BW"/>
    <s v="TIBCO BW, CA APM"/>
    <s v="AP"/>
    <s v="ESB"/>
    <s v="AP-ESB"/>
    <m/>
    <s v="Yes - Outside this BoM"/>
    <m/>
    <m/>
    <m/>
    <s v="a"/>
    <m/>
    <m/>
    <s v="FDCGCGTIBLA25P"/>
    <n v="1"/>
    <m/>
    <m/>
    <s v="BL620C G7"/>
    <s v="x86 Tier 3"/>
    <s v="x86"/>
    <m/>
    <s v="RHEL 5.9"/>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2"/>
    <s v="PROD"/>
    <m/>
    <m/>
    <m/>
    <s v="ESB-PAT-BW"/>
    <s v="TIBCO BW, CA APM"/>
    <s v="AP"/>
    <s v="ESB"/>
    <s v="AP-ESB"/>
    <m/>
    <s v="Yes - Outside this BoM"/>
    <m/>
    <m/>
    <m/>
    <s v="a"/>
    <m/>
    <m/>
    <s v="FDCGCGTIBLA26P"/>
    <n v="1"/>
    <m/>
    <m/>
    <s v="BL620C G7"/>
    <s v="x86 Tier 3"/>
    <s v="x86"/>
    <m/>
    <s v="RHEL 5.9"/>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2"/>
    <s v="PROD"/>
    <m/>
    <m/>
    <m/>
    <s v="ESB-PAT-BW"/>
    <s v="TIBCO BW, CA APM"/>
    <s v="AP"/>
    <s v="ESB"/>
    <s v="AP-ESB"/>
    <m/>
    <s v="Yes - Outside this BoM"/>
    <m/>
    <m/>
    <m/>
    <s v="a"/>
    <m/>
    <m/>
    <s v="FDCGCGTIBLA27P"/>
    <n v="1"/>
    <m/>
    <m/>
    <s v="BL620C G7"/>
    <s v="x86 Tier 3"/>
    <s v="x86"/>
    <m/>
    <s v="RHEL 5.9"/>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2"/>
    <s v="PROD"/>
    <m/>
    <m/>
    <m/>
    <s v="ESB-PAT-BW"/>
    <s v="TIBCO BW, CA APM"/>
    <s v="AP"/>
    <s v="ESB"/>
    <s v="AP-ESB"/>
    <m/>
    <s v="Yes - Outside this BoM"/>
    <m/>
    <m/>
    <m/>
    <s v="a"/>
    <m/>
    <m/>
    <s v="FDCGCGTIBLA28P"/>
    <n v="1"/>
    <m/>
    <m/>
    <s v="BL620C G7"/>
    <s v="x86 Tier 3"/>
    <s v="x86"/>
    <m/>
    <s v="RHEL 5.9"/>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2"/>
    <s v="PROD"/>
    <m/>
    <m/>
    <m/>
    <s v="ESB-PAT-BW"/>
    <s v="TIBCO BW, CA APM"/>
    <s v="AP"/>
    <s v="ESB"/>
    <s v="AP-ESB"/>
    <m/>
    <s v="Yes - Outside this BoM"/>
    <m/>
    <m/>
    <m/>
    <s v="a"/>
    <m/>
    <m/>
    <s v="FDCGCGTIBLA35P"/>
    <n v="1"/>
    <m/>
    <m/>
    <s v="BL620C G7"/>
    <s v="x86 Tier 3"/>
    <s v="x86"/>
    <m/>
    <s v="RHEL 5.9"/>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2"/>
    <s v="PROD"/>
    <m/>
    <m/>
    <m/>
    <s v="ESB-PAT-BW"/>
    <s v="TIBCO BW, CA APM"/>
    <s v="AP"/>
    <s v="ESB"/>
    <s v="AP-ESB"/>
    <m/>
    <s v="Yes - Outside this BoM"/>
    <m/>
    <m/>
    <m/>
    <s v="a"/>
    <m/>
    <m/>
    <s v="FDCGCGTIBLA36P"/>
    <n v="1"/>
    <m/>
    <m/>
    <s v="BL620C G7"/>
    <s v="x86 Tier 3"/>
    <s v="x86"/>
    <m/>
    <s v="RHEL 5.9"/>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MQ"/>
    <s v="IBM WMQ x86, CA APM"/>
    <s v="AP"/>
    <s v="ESB"/>
    <s v="AP-ESB"/>
    <m/>
    <s v="Yes - Outside this BoM"/>
    <m/>
    <m/>
    <m/>
    <s v="a"/>
    <m/>
    <m/>
    <s v="FDCGCGMQMLA19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0"/>
    <n v="0"/>
    <n v="0"/>
    <n v="0"/>
    <n v="0"/>
    <n v="0"/>
    <n v="0"/>
    <n v="0"/>
    <n v="0"/>
    <n v="0"/>
    <n v="0"/>
    <n v="0"/>
    <n v="0"/>
    <n v="0"/>
    <n v="0"/>
    <n v="0"/>
    <n v="0"/>
    <n v="0"/>
    <n v="0"/>
    <n v="0"/>
  </r>
  <r>
    <s v="PCR-AVATAR"/>
    <m/>
    <m/>
    <m/>
    <m/>
    <m/>
    <m/>
    <m/>
    <m/>
    <m/>
    <m/>
    <m/>
    <e v="#NAME?"/>
    <x v="1"/>
    <m/>
    <m/>
    <x v="3"/>
    <s v="COB"/>
    <m/>
    <m/>
    <m/>
    <s v="MQ"/>
    <s v="IBM WMQ x86, CA APM"/>
    <s v="AP"/>
    <s v="ESB"/>
    <s v="AP-ESB"/>
    <m/>
    <s v="Yes - Outside this BoM"/>
    <m/>
    <m/>
    <m/>
    <s v="a"/>
    <m/>
    <m/>
    <s v="FDCGCGMQMLA20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MQ"/>
    <s v="IBM WMQ x86, CA APM"/>
    <s v="AP"/>
    <s v="ESB"/>
    <s v="AP-ESB"/>
    <m/>
    <s v="Yes - Outside this BoM"/>
    <m/>
    <m/>
    <m/>
    <s v="a"/>
    <m/>
    <m/>
    <s v="FDCGCGMQMLA65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MQ"/>
    <s v="IBM WMQ x86, CA APM"/>
    <s v="AP"/>
    <s v="ESB"/>
    <s v="AP-ESB"/>
    <m/>
    <s v="Yes - Outside this BoM"/>
    <m/>
    <m/>
    <m/>
    <s v="a"/>
    <m/>
    <m/>
    <s v="FDCGCGMQMLA75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ESB [V5,V6], CMR, SNF - EMS"/>
    <s v="Veritas Cluster/CFS, TIBCO EMS, CA APM"/>
    <s v="AP"/>
    <s v="ESB"/>
    <s v="AP-ESB"/>
    <m/>
    <s v="Yes - Outside this BoM"/>
    <m/>
    <m/>
    <m/>
    <s v="a"/>
    <m/>
    <m/>
    <s v="FDCGCGTIBLA61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ESB [V5,V6], CMR, SNF - EMS"/>
    <s v="Veritas Cluster/CFS, TIBCO EMS, CA APM"/>
    <s v="AP"/>
    <s v="ESB"/>
    <s v="AP-ESB"/>
    <m/>
    <s v="Yes - Outside this BoM"/>
    <m/>
    <m/>
    <m/>
    <s v="a"/>
    <m/>
    <m/>
    <s v="FDCGCGTIBLA71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ESB [V5,V6], CMR, SNF - EMS"/>
    <s v="Veritas Cluster/CFS, TIBCO EMS, CA APM"/>
    <s v="AP"/>
    <s v="ESB"/>
    <s v="AP-ESB"/>
    <m/>
    <s v="Yes - Outside this BoM"/>
    <m/>
    <m/>
    <m/>
    <s v="a"/>
    <m/>
    <m/>
    <s v="FDCGCGTIBLA81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ESB [V5,V6], CMR, SNF - EMS"/>
    <s v="Veritas Cluster/CFS, TIBCO EMS, CA APM"/>
    <s v="AP"/>
    <s v="ESB"/>
    <s v="AP-ESB"/>
    <m/>
    <s v="Yes - Outside this BoM"/>
    <m/>
    <m/>
    <m/>
    <s v="a"/>
    <m/>
    <m/>
    <s v="FDCGCGTIBLA91C"/>
    <n v="1"/>
    <m/>
    <m/>
    <s v="BL620C G7"/>
    <s v="x86 Tier 3"/>
    <s v="x86"/>
    <m/>
    <s v="RHEL 5.9"/>
    <m/>
    <m/>
    <m/>
    <s v=""/>
    <m/>
    <m/>
    <m/>
    <m/>
    <m/>
    <m/>
    <m/>
    <m/>
    <m/>
    <m/>
    <m/>
    <m/>
    <m/>
    <m/>
    <m/>
    <n v="0"/>
    <m/>
    <x v="4"/>
    <m/>
    <x v="4"/>
    <m/>
    <m/>
    <x v="0"/>
    <n v="0"/>
    <m/>
    <n v="0"/>
    <m/>
    <m/>
    <n v="0"/>
    <n v="0"/>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ESB-Digital - EMS"/>
    <s v="Veritas Cluster/CFS, TIBCO EMS, CA APM"/>
    <s v="AP"/>
    <s v="ESB"/>
    <s v="AP-ESB"/>
    <m/>
    <s v="No"/>
    <m/>
    <m/>
    <m/>
    <m/>
    <m/>
    <m/>
    <s v="RDC-COB-DIG-ESB-EMS-SVR1"/>
    <n v="1"/>
    <m/>
    <m/>
    <s v="BL620C G7"/>
    <s v="x86 Tier 3"/>
    <s v="x86"/>
    <m/>
    <s v="RHEL 5.9"/>
    <n v="2"/>
    <m/>
    <m/>
    <s v=""/>
    <n v="256"/>
    <m/>
    <m/>
    <m/>
    <m/>
    <m/>
    <m/>
    <m/>
    <m/>
    <m/>
    <m/>
    <m/>
    <m/>
    <m/>
    <m/>
    <m/>
    <m/>
    <x v="4"/>
    <m/>
    <x v="4"/>
    <m/>
    <m/>
    <x v="0"/>
    <n v="0"/>
    <m/>
    <n v="0"/>
    <m/>
    <m/>
    <n v="0"/>
    <n v="0"/>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0"/>
    <n v="0"/>
    <n v="2"/>
    <m/>
    <n v="6359.75"/>
    <n v="899.755"/>
    <n v="1003.9"/>
    <n v="0"/>
    <n v="0"/>
    <n v="1003.9"/>
    <n v="7363.65"/>
    <n v="1903.655"/>
    <n v="1003.9"/>
    <n v="2"/>
    <n v="0"/>
    <n v="256"/>
    <n v="0"/>
    <n v="0"/>
    <n v="0"/>
    <n v="0"/>
    <n v="608"/>
    <n v="0"/>
    <n v="0"/>
    <n v="208.8"/>
    <n v="0"/>
    <n v="187.1"/>
    <n v="0"/>
  </r>
  <r>
    <s v="PCR-AVATAR"/>
    <m/>
    <m/>
    <m/>
    <m/>
    <m/>
    <m/>
    <m/>
    <m/>
    <m/>
    <m/>
    <m/>
    <e v="#NAME?"/>
    <x v="1"/>
    <m/>
    <m/>
    <x v="3"/>
    <s v="COB"/>
    <m/>
    <m/>
    <m/>
    <s v="ESB-Digital - EMS"/>
    <s v="Veritas Cluster/CFS, TIBCO EMS, CA APM"/>
    <s v="AP"/>
    <s v="ESB"/>
    <s v="AP-ESB"/>
    <m/>
    <s v="No"/>
    <m/>
    <m/>
    <m/>
    <m/>
    <m/>
    <m/>
    <s v="RDC-COB-DIG-ESB-EMS-SVR2"/>
    <n v="1"/>
    <m/>
    <m/>
    <s v="BL620C G7"/>
    <s v="x86 Tier 3"/>
    <s v="x86"/>
    <m/>
    <s v="RHEL 5.9"/>
    <n v="2"/>
    <m/>
    <m/>
    <s v=""/>
    <n v="256"/>
    <m/>
    <m/>
    <m/>
    <m/>
    <m/>
    <m/>
    <m/>
    <m/>
    <m/>
    <m/>
    <m/>
    <m/>
    <m/>
    <m/>
    <m/>
    <m/>
    <x v="4"/>
    <m/>
    <x v="4"/>
    <m/>
    <m/>
    <x v="0"/>
    <n v="0"/>
    <m/>
    <n v="0"/>
    <m/>
    <m/>
    <n v="0"/>
    <n v="0"/>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0"/>
    <n v="0"/>
    <n v="2"/>
    <m/>
    <m/>
    <m/>
    <n v="1003.9"/>
    <n v="0"/>
    <n v="0"/>
    <n v="1003.9"/>
    <n v="1003.9"/>
    <n v="1003.9"/>
    <n v="1003.9"/>
    <n v="2"/>
    <n v="0"/>
    <n v="256"/>
    <n v="0"/>
    <n v="0"/>
    <n v="0"/>
    <n v="0"/>
    <n v="608"/>
    <n v="0"/>
    <n v="0"/>
    <n v="208.8"/>
    <n v="0"/>
    <n v="187.1"/>
    <n v="0"/>
  </r>
  <r>
    <s v="PCR-AVATAR"/>
    <m/>
    <m/>
    <m/>
    <m/>
    <m/>
    <m/>
    <m/>
    <m/>
    <m/>
    <m/>
    <m/>
    <e v="#NAME?"/>
    <x v="1"/>
    <m/>
    <m/>
    <x v="3"/>
    <s v="COB"/>
    <m/>
    <m/>
    <m/>
    <s v="ESB-Digital - EMS"/>
    <s v="Veritas Cluster/CFS, TIBCO EMS, CA APM"/>
    <s v="AP"/>
    <s v="ESB"/>
    <s v="AP-ESB"/>
    <m/>
    <s v="No"/>
    <m/>
    <m/>
    <m/>
    <m/>
    <m/>
    <m/>
    <s v="RDC-COB-DIG-ESB-EMS-SVR3"/>
    <n v="1"/>
    <m/>
    <m/>
    <s v="BL620C G7"/>
    <s v="x86 Tier 3"/>
    <s v="x86"/>
    <m/>
    <s v="RHEL 5.9"/>
    <n v="2"/>
    <m/>
    <m/>
    <s v=""/>
    <n v="256"/>
    <m/>
    <m/>
    <m/>
    <m/>
    <m/>
    <m/>
    <m/>
    <m/>
    <m/>
    <m/>
    <m/>
    <m/>
    <m/>
    <m/>
    <m/>
    <m/>
    <x v="4"/>
    <m/>
    <x v="4"/>
    <m/>
    <m/>
    <x v="0"/>
    <n v="0"/>
    <m/>
    <n v="0"/>
    <m/>
    <m/>
    <n v="0"/>
    <n v="0"/>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0"/>
    <n v="0"/>
    <n v="2"/>
    <m/>
    <m/>
    <m/>
    <n v="1003.9"/>
    <n v="0"/>
    <n v="0"/>
    <n v="1003.9"/>
    <n v="1003.9"/>
    <n v="1003.9"/>
    <n v="1003.9"/>
    <n v="2"/>
    <n v="0"/>
    <n v="256"/>
    <n v="0"/>
    <n v="0"/>
    <n v="0"/>
    <n v="0"/>
    <n v="608"/>
    <n v="0"/>
    <n v="0"/>
    <n v="208.8"/>
    <n v="0"/>
    <n v="187.1"/>
    <n v="0"/>
  </r>
  <r>
    <s v="PCR-AVATAR"/>
    <m/>
    <m/>
    <m/>
    <m/>
    <m/>
    <m/>
    <m/>
    <m/>
    <m/>
    <m/>
    <m/>
    <e v="#NAME?"/>
    <x v="1"/>
    <m/>
    <m/>
    <x v="3"/>
    <s v="COB"/>
    <m/>
    <m/>
    <m/>
    <s v="ESB-Digital - EMS"/>
    <s v="Veritas Cluster/CFS, TIBCO EMS, CA APM"/>
    <s v="AP"/>
    <s v="ESB"/>
    <s v="AP-ESB"/>
    <m/>
    <s v="No"/>
    <m/>
    <m/>
    <m/>
    <m/>
    <m/>
    <m/>
    <s v="RDC-COB-DIG-ESB-EMS-SVR4"/>
    <n v="1"/>
    <m/>
    <m/>
    <s v="BL620C G7"/>
    <s v="x86 Tier 3"/>
    <s v="x86"/>
    <m/>
    <s v="RHEL 5.9"/>
    <n v="2"/>
    <m/>
    <m/>
    <s v=""/>
    <n v="256"/>
    <m/>
    <m/>
    <m/>
    <m/>
    <m/>
    <m/>
    <m/>
    <m/>
    <m/>
    <m/>
    <m/>
    <m/>
    <m/>
    <m/>
    <m/>
    <m/>
    <x v="4"/>
    <m/>
    <x v="4"/>
    <m/>
    <m/>
    <x v="0"/>
    <n v="0"/>
    <m/>
    <n v="0"/>
    <m/>
    <m/>
    <n v="0"/>
    <n v="0"/>
    <m/>
    <m/>
    <m/>
    <m/>
    <m/>
    <m/>
    <m/>
    <m/>
    <m/>
    <m/>
    <s v="Existing Server to be reused - if no techstack change "/>
    <m/>
    <n v="0"/>
    <n v="1"/>
    <n v="0"/>
    <n v="0"/>
    <n v="0"/>
    <n v="0"/>
    <n v="0"/>
    <n v="0"/>
    <n v="0"/>
    <n v="0"/>
    <n v="0"/>
    <n v="0"/>
    <n v="0"/>
    <n v="0"/>
    <n v="0"/>
    <n v="0"/>
    <n v="0"/>
    <n v="0"/>
    <n v="0"/>
    <n v="0"/>
    <n v="0"/>
    <n v="0"/>
    <n v="0"/>
    <n v="0"/>
    <n v="0"/>
    <n v="0"/>
    <n v="0"/>
    <n v="0"/>
    <n v="0"/>
    <n v="0"/>
    <n v="0"/>
    <n v="0"/>
    <n v="0"/>
    <n v="0"/>
    <n v="0"/>
    <n v="0"/>
    <n v="0"/>
    <n v="0"/>
    <n v="0"/>
    <n v="0"/>
    <n v="0"/>
    <n v="0"/>
    <n v="0"/>
    <n v="0"/>
    <n v="0"/>
    <n v="0"/>
    <n v="0"/>
    <n v="0"/>
    <n v="0"/>
    <n v="0"/>
    <n v="0"/>
    <n v="2"/>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1"/>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2"/>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3"/>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4"/>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5"/>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6"/>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7"/>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8"/>
    <n v="1"/>
    <m/>
    <m/>
    <s v="BL620C G7"/>
    <s v="x86 Tier 3"/>
    <s v="x86"/>
    <m/>
    <s v="RHEL 5.9"/>
    <n v="2"/>
    <m/>
    <m/>
    <s v=""/>
    <n v="256"/>
    <m/>
    <m/>
    <m/>
    <m/>
    <m/>
    <m/>
    <m/>
    <m/>
    <m/>
    <m/>
    <m/>
    <m/>
    <m/>
    <m/>
    <m/>
    <m/>
    <x v="4"/>
    <m/>
    <x v="4"/>
    <m/>
    <m/>
    <x v="0"/>
    <n v="0"/>
    <m/>
    <n v="0"/>
    <m/>
    <m/>
    <n v="0"/>
    <n v="0"/>
    <m/>
    <m/>
    <m/>
    <m/>
    <m/>
    <m/>
    <m/>
    <m/>
    <m/>
    <m/>
    <s v="Existing BAU server to be released after cutover -Hump"/>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9"/>
    <n v="1"/>
    <m/>
    <m/>
    <s v="BL620C G7"/>
    <s v="x86 Tier 3"/>
    <s v="x86"/>
    <m/>
    <s v="RHEL 5.9"/>
    <n v="2"/>
    <m/>
    <m/>
    <s v=""/>
    <n v="256"/>
    <m/>
    <m/>
    <m/>
    <m/>
    <m/>
    <m/>
    <m/>
    <m/>
    <m/>
    <m/>
    <m/>
    <m/>
    <m/>
    <m/>
    <m/>
    <m/>
    <x v="4"/>
    <m/>
    <x v="4"/>
    <m/>
    <m/>
    <x v="0"/>
    <n v="0"/>
    <m/>
    <n v="0"/>
    <m/>
    <m/>
    <n v="0"/>
    <n v="0"/>
    <m/>
    <m/>
    <m/>
    <m/>
    <m/>
    <m/>
    <m/>
    <m/>
    <m/>
    <m/>
    <m/>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10"/>
    <n v="1"/>
    <m/>
    <m/>
    <s v="BL620C G7"/>
    <s v="x86 Tier 3"/>
    <s v="x86"/>
    <m/>
    <s v="RHEL 5.9"/>
    <n v="2"/>
    <m/>
    <m/>
    <s v=""/>
    <n v="256"/>
    <m/>
    <m/>
    <m/>
    <m/>
    <m/>
    <m/>
    <m/>
    <m/>
    <m/>
    <m/>
    <m/>
    <m/>
    <m/>
    <m/>
    <m/>
    <m/>
    <x v="4"/>
    <m/>
    <x v="4"/>
    <m/>
    <m/>
    <x v="0"/>
    <n v="0"/>
    <m/>
    <n v="0"/>
    <m/>
    <m/>
    <n v="0"/>
    <n v="0"/>
    <m/>
    <m/>
    <m/>
    <m/>
    <m/>
    <m/>
    <m/>
    <m/>
    <m/>
    <m/>
    <m/>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11"/>
    <n v="1"/>
    <m/>
    <m/>
    <s v="BL620C G7"/>
    <s v="x86 Tier 3"/>
    <s v="x86"/>
    <m/>
    <s v="RHEL 5.9"/>
    <n v="2"/>
    <m/>
    <m/>
    <s v=""/>
    <n v="256"/>
    <m/>
    <m/>
    <m/>
    <m/>
    <m/>
    <m/>
    <m/>
    <m/>
    <m/>
    <m/>
    <m/>
    <m/>
    <m/>
    <m/>
    <m/>
    <m/>
    <x v="4"/>
    <m/>
    <x v="4"/>
    <m/>
    <m/>
    <x v="0"/>
    <n v="0"/>
    <m/>
    <n v="0"/>
    <m/>
    <m/>
    <n v="0"/>
    <n v="0"/>
    <m/>
    <m/>
    <m/>
    <m/>
    <m/>
    <m/>
    <m/>
    <m/>
    <m/>
    <m/>
    <m/>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ESB-Digital -BW"/>
    <s v="TIBCO BW, CA APM"/>
    <s v="AP"/>
    <s v="ESB"/>
    <s v="AP-ESB"/>
    <m/>
    <s v="No"/>
    <m/>
    <m/>
    <m/>
    <m/>
    <m/>
    <m/>
    <s v="RDC-COB-DIG-ESB-BW-SVR12"/>
    <n v="1"/>
    <m/>
    <m/>
    <s v="BL620C G7"/>
    <s v="x86 Tier 3"/>
    <s v="x86"/>
    <m/>
    <s v="RHEL 5.9"/>
    <n v="2"/>
    <m/>
    <m/>
    <s v=""/>
    <n v="256"/>
    <m/>
    <m/>
    <m/>
    <m/>
    <m/>
    <m/>
    <m/>
    <m/>
    <m/>
    <m/>
    <m/>
    <m/>
    <m/>
    <m/>
    <m/>
    <m/>
    <x v="4"/>
    <m/>
    <x v="4"/>
    <m/>
    <m/>
    <x v="0"/>
    <n v="0"/>
    <m/>
    <n v="0"/>
    <m/>
    <m/>
    <n v="0"/>
    <n v="0"/>
    <m/>
    <m/>
    <m/>
    <m/>
    <m/>
    <m/>
    <m/>
    <m/>
    <m/>
    <m/>
    <m/>
    <m/>
    <n v="0"/>
    <n v="1"/>
    <n v="0"/>
    <n v="0"/>
    <n v="0"/>
    <n v="0"/>
    <n v="0"/>
    <n v="0"/>
    <n v="0"/>
    <n v="0"/>
    <n v="0"/>
    <n v="0"/>
    <n v="0"/>
    <n v="0"/>
    <n v="0"/>
    <n v="0"/>
    <n v="0"/>
    <n v="0"/>
    <n v="0"/>
    <n v="0"/>
    <n v="0"/>
    <n v="0"/>
    <n v="0"/>
    <n v="0"/>
    <n v="0"/>
    <n v="0"/>
    <n v="0"/>
    <n v="0"/>
    <n v="0"/>
    <n v="0"/>
    <n v="0"/>
    <n v="0"/>
    <n v="0"/>
    <n v="0"/>
    <n v="0"/>
    <n v="0"/>
    <n v="0"/>
    <n v="0"/>
    <n v="0"/>
    <n v="0"/>
    <n v="0"/>
    <n v="0"/>
    <n v="0"/>
    <n v="0"/>
    <n v="0"/>
    <n v="0"/>
    <n v="0"/>
    <n v="0"/>
    <n v="0"/>
    <n v="0"/>
    <n v="0"/>
    <n v="0"/>
    <m/>
    <m/>
    <m/>
    <n v="1003.9"/>
    <n v="0"/>
    <n v="0"/>
    <n v="1003.9"/>
    <n v="1003.9"/>
    <n v="1003.9"/>
    <n v="1003.9"/>
    <n v="2"/>
    <n v="0"/>
    <n v="256"/>
    <n v="0"/>
    <n v="0"/>
    <n v="0"/>
    <n v="0"/>
    <n v="608"/>
    <n v="0"/>
    <n v="0"/>
    <n v="208.8"/>
    <n v="0"/>
    <n v="187.1"/>
    <n v="0"/>
  </r>
  <r>
    <s v="PCR-AVATAR"/>
    <m/>
    <m/>
    <m/>
    <m/>
    <m/>
    <m/>
    <m/>
    <m/>
    <m/>
    <m/>
    <m/>
    <e v="#NAME?"/>
    <x v="1"/>
    <m/>
    <m/>
    <x v="3"/>
    <s v="COB"/>
    <m/>
    <m/>
    <m/>
    <s v="Oracle RAC - ESB"/>
    <s v="Oracle RAC pSeries"/>
    <s v="DB"/>
    <s v="ESB"/>
    <s v="DB-ESB"/>
    <m/>
    <s v="Yes - Outside this BoM"/>
    <m/>
    <m/>
    <m/>
    <m/>
    <m/>
    <m/>
    <s v="rdcgcgracad14c"/>
    <n v="1"/>
    <m/>
    <m/>
    <s v="IBM p7 p795"/>
    <s v="IBM P-Series Tier 2"/>
    <s v="pSeries"/>
    <m/>
    <s v="AIX 6.1"/>
    <m/>
    <m/>
    <m/>
    <m/>
    <m/>
    <m/>
    <m/>
    <m/>
    <m/>
    <m/>
    <m/>
    <m/>
    <m/>
    <m/>
    <m/>
    <m/>
    <m/>
    <m/>
    <m/>
    <m/>
    <m/>
    <x v="7"/>
    <m/>
    <x v="7"/>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Oracle RAC - ESB"/>
    <s v="Oracle RAC pSeries"/>
    <s v="DB"/>
    <s v="ESB"/>
    <s v="DB-ESB"/>
    <m/>
    <s v="Yes - Outside this BoM"/>
    <m/>
    <m/>
    <m/>
    <m/>
    <m/>
    <m/>
    <s v="rdcgcgracad15c"/>
    <n v="1"/>
    <m/>
    <m/>
    <s v="IBM p7 p795"/>
    <s v="IBM P-Series Tier 2"/>
    <s v="pSeries"/>
    <m/>
    <s v="AIX 6.1"/>
    <m/>
    <m/>
    <m/>
    <m/>
    <m/>
    <m/>
    <m/>
    <m/>
    <m/>
    <m/>
    <m/>
    <m/>
    <m/>
    <m/>
    <m/>
    <m/>
    <m/>
    <m/>
    <m/>
    <m/>
    <m/>
    <x v="7"/>
    <m/>
    <x v="7"/>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Dataguard- Oracle RAC-ESB"/>
    <s v="Oracle RAC pSeries"/>
    <s v="DB"/>
    <s v="ESB"/>
    <s v="DB-ESB"/>
    <m/>
    <s v="Yes - Outside this BoM"/>
    <m/>
    <m/>
    <m/>
    <m/>
    <m/>
    <m/>
    <s v="rdcgcgdtgad14c"/>
    <n v="1"/>
    <m/>
    <m/>
    <s v="IBM p7 p795"/>
    <s v="IBM P-Series Tier 2"/>
    <s v="pSeries"/>
    <m/>
    <s v="AIX 6.1"/>
    <m/>
    <m/>
    <m/>
    <m/>
    <m/>
    <m/>
    <m/>
    <m/>
    <m/>
    <m/>
    <m/>
    <m/>
    <m/>
    <m/>
    <m/>
    <m/>
    <m/>
    <m/>
    <m/>
    <m/>
    <m/>
    <x v="7"/>
    <m/>
    <x v="7"/>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Oracle HACMP  - Tibco, RMAN"/>
    <s v="Oracle Standalone"/>
    <s v="DB"/>
    <s v="ESB"/>
    <s v="DB-ESB"/>
    <m/>
    <s v="Yes - Outside this BoM"/>
    <m/>
    <m/>
    <m/>
    <m/>
    <m/>
    <m/>
    <s v="rdcgcgticad01c"/>
    <n v="1"/>
    <m/>
    <m/>
    <s v="IBM p7 p795"/>
    <s v="IBM P-Series Tier 2"/>
    <s v="pSeries"/>
    <m/>
    <s v="AIX 6.1"/>
    <m/>
    <m/>
    <m/>
    <m/>
    <m/>
    <m/>
    <m/>
    <m/>
    <m/>
    <m/>
    <m/>
    <m/>
    <m/>
    <m/>
    <m/>
    <m/>
    <m/>
    <m/>
    <m/>
    <m/>
    <m/>
    <x v="7"/>
    <m/>
    <x v="7"/>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Oracle HACMP - Tibco, RMAN"/>
    <s v="Oracle Standalone"/>
    <s v="DB"/>
    <s v="ESB"/>
    <s v="DB-ESB"/>
    <m/>
    <s v="Yes - Outside this BoM"/>
    <m/>
    <m/>
    <m/>
    <m/>
    <m/>
    <m/>
    <s v="rdcgcgticad02c"/>
    <n v="1"/>
    <m/>
    <m/>
    <s v="IBM p7 p795"/>
    <s v="IBM P-Series Tier 2"/>
    <s v="pSeries"/>
    <m/>
    <s v="AIX 6.1"/>
    <m/>
    <m/>
    <m/>
    <m/>
    <m/>
    <m/>
    <m/>
    <m/>
    <m/>
    <m/>
    <m/>
    <m/>
    <m/>
    <m/>
    <m/>
    <m/>
    <m/>
    <m/>
    <m/>
    <m/>
    <m/>
    <x v="7"/>
    <m/>
    <x v="7"/>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4"/>
    <s v="UAT"/>
    <m/>
    <m/>
    <m/>
    <s v="MQ"/>
    <s v="IBM WMQ x86, CA APM"/>
    <s v="AP"/>
    <s v="ESB"/>
    <s v="AP-ESB"/>
    <m/>
    <s v="Yes - Outside this BoM"/>
    <m/>
    <m/>
    <m/>
    <s v="a"/>
    <m/>
    <m/>
    <s v="RDCGCGMQMLA19U"/>
    <n v="1"/>
    <m/>
    <m/>
    <s v="BL620C G7"/>
    <s v="x86 Tier 3"/>
    <s v="x86"/>
    <m/>
    <s v="RHEL 5.9"/>
    <m/>
    <m/>
    <m/>
    <s v=""/>
    <m/>
    <m/>
    <m/>
    <m/>
    <m/>
    <m/>
    <m/>
    <m/>
    <m/>
    <m/>
    <m/>
    <m/>
    <m/>
    <m/>
    <m/>
    <n v="0"/>
    <n v="60"/>
    <x v="0"/>
    <m/>
    <x v="0"/>
    <m/>
    <m/>
    <x v="1"/>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30.330000000000002"/>
    <n v="6.7821249999999997"/>
    <n v="37.112124999999999"/>
    <n v="37.112124999999999"/>
    <n v="37.112124999999999"/>
    <n v="0"/>
    <n v="0"/>
    <n v="0"/>
    <n v="0"/>
    <n v="0"/>
    <n v="0"/>
    <n v="0"/>
    <n v="0"/>
    <n v="0"/>
    <n v="0"/>
    <n v="0"/>
    <n v="0"/>
    <n v="0"/>
    <n v="0"/>
    <n v="0"/>
  </r>
  <r>
    <s v="PCR-AVATAR"/>
    <m/>
    <m/>
    <m/>
    <m/>
    <m/>
    <m/>
    <m/>
    <m/>
    <m/>
    <m/>
    <m/>
    <e v="#NAME?"/>
    <x v="1"/>
    <m/>
    <m/>
    <x v="4"/>
    <s v="UAT"/>
    <m/>
    <m/>
    <m/>
    <s v="MQ"/>
    <s v="IBM WMQ x86, CA APM"/>
    <s v="AP"/>
    <s v="ESB"/>
    <s v="AP-ESB"/>
    <m/>
    <s v="Yes - Outside this BoM"/>
    <m/>
    <m/>
    <m/>
    <s v="a"/>
    <m/>
    <m/>
    <s v="RDCGCGMQMLA20U"/>
    <n v="1"/>
    <m/>
    <m/>
    <s v="BL620C G7"/>
    <s v="x86 Tier 3"/>
    <s v="x86"/>
    <m/>
    <s v="RHEL 5.9"/>
    <m/>
    <m/>
    <m/>
    <s v=""/>
    <m/>
    <m/>
    <m/>
    <m/>
    <m/>
    <m/>
    <m/>
    <m/>
    <m/>
    <m/>
    <m/>
    <m/>
    <m/>
    <m/>
    <m/>
    <n v="0"/>
    <n v="60"/>
    <x v="0"/>
    <m/>
    <x v="0"/>
    <m/>
    <m/>
    <x v="1"/>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30.330000000000002"/>
    <n v="6.7821249999999997"/>
    <n v="37.112124999999999"/>
    <n v="37.112124999999999"/>
    <n v="37.112124999999999"/>
    <n v="0"/>
    <n v="0"/>
    <n v="0"/>
    <n v="0"/>
    <n v="0"/>
    <n v="0"/>
    <n v="0"/>
    <n v="0"/>
    <n v="0"/>
    <n v="0"/>
    <n v="0"/>
    <n v="0"/>
    <n v="0"/>
    <n v="0"/>
    <n v="0"/>
  </r>
  <r>
    <s v="PCR-AVATAR"/>
    <m/>
    <m/>
    <m/>
    <m/>
    <m/>
    <m/>
    <m/>
    <m/>
    <m/>
    <m/>
    <m/>
    <e v="#NAME?"/>
    <x v="1"/>
    <m/>
    <m/>
    <x v="4"/>
    <s v="UAT"/>
    <m/>
    <m/>
    <m/>
    <s v="MQ"/>
    <s v="IBM WMQ x86, CA APM"/>
    <s v="AP"/>
    <s v="ESB"/>
    <s v="AP-ESB"/>
    <m/>
    <s v="Yes - Outside this BoM"/>
    <m/>
    <m/>
    <m/>
    <s v="a"/>
    <m/>
    <m/>
    <s v="RDCGCGMQMLA65U"/>
    <n v="1"/>
    <m/>
    <m/>
    <s v="BL620C G7"/>
    <s v="x86 Tier 3"/>
    <s v="x86"/>
    <m/>
    <s v="RHEL 5.9"/>
    <m/>
    <m/>
    <m/>
    <s v=""/>
    <m/>
    <m/>
    <m/>
    <m/>
    <m/>
    <m/>
    <m/>
    <m/>
    <m/>
    <m/>
    <m/>
    <m/>
    <m/>
    <m/>
    <m/>
    <n v="0"/>
    <n v="60"/>
    <x v="0"/>
    <m/>
    <x v="0"/>
    <m/>
    <m/>
    <x v="1"/>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30.330000000000002"/>
    <n v="6.7821249999999997"/>
    <n v="37.112124999999999"/>
    <n v="37.112124999999999"/>
    <n v="37.112124999999999"/>
    <n v="0"/>
    <n v="0"/>
    <n v="0"/>
    <n v="0"/>
    <n v="0"/>
    <n v="0"/>
    <n v="0"/>
    <n v="0"/>
    <n v="0"/>
    <n v="0"/>
    <n v="0"/>
    <n v="0"/>
    <n v="0"/>
    <n v="0"/>
    <n v="0"/>
  </r>
  <r>
    <s v="PCR-AVATAR"/>
    <m/>
    <m/>
    <m/>
    <m/>
    <m/>
    <m/>
    <m/>
    <m/>
    <m/>
    <m/>
    <m/>
    <e v="#NAME?"/>
    <x v="1"/>
    <m/>
    <m/>
    <x v="4"/>
    <s v="UAT"/>
    <m/>
    <m/>
    <m/>
    <s v="MQ"/>
    <s v="IBM WMQ x86, CA APM"/>
    <s v="AP"/>
    <s v="ESB"/>
    <s v="AP-ESB"/>
    <m/>
    <s v="Yes - Outside this BoM"/>
    <m/>
    <m/>
    <m/>
    <s v="a"/>
    <m/>
    <m/>
    <s v="RDCGCGMQMLA75U"/>
    <n v="1"/>
    <m/>
    <m/>
    <s v="BL620C G7"/>
    <s v="x86 Tier 3"/>
    <s v="x86"/>
    <m/>
    <s v="RHEL 5.9"/>
    <m/>
    <m/>
    <m/>
    <s v=""/>
    <m/>
    <m/>
    <m/>
    <m/>
    <m/>
    <m/>
    <m/>
    <m/>
    <m/>
    <m/>
    <m/>
    <m/>
    <m/>
    <m/>
    <m/>
    <n v="0"/>
    <n v="60"/>
    <x v="0"/>
    <m/>
    <x v="0"/>
    <m/>
    <m/>
    <x v="1"/>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30.330000000000002"/>
    <n v="6.7821249999999997"/>
    <n v="37.112124999999999"/>
    <n v="37.112124999999999"/>
    <n v="37.112124999999999"/>
    <n v="0"/>
    <n v="0"/>
    <n v="0"/>
    <n v="0"/>
    <n v="0"/>
    <n v="0"/>
    <n v="0"/>
    <n v="0"/>
    <n v="0"/>
    <n v="0"/>
    <n v="0"/>
    <n v="0"/>
    <n v="0"/>
    <n v="0"/>
    <n v="0"/>
  </r>
  <r>
    <s v="PCR-AVATAR"/>
    <m/>
    <m/>
    <m/>
    <m/>
    <m/>
    <m/>
    <m/>
    <m/>
    <m/>
    <m/>
    <m/>
    <e v="#NAME?"/>
    <x v="1"/>
    <m/>
    <m/>
    <x v="4"/>
    <s v="UAT"/>
    <m/>
    <m/>
    <m/>
    <s v="ESB [V5,V6], CMR, SNF - EMS"/>
    <s v="Veritas Cluster/CFS, TIBCO EMS, CA APM"/>
    <s v="AP"/>
    <s v="ESB"/>
    <s v="AP-ESB"/>
    <m/>
    <s v="Yes - Outside this BoM"/>
    <m/>
    <m/>
    <m/>
    <s v="a"/>
    <m/>
    <m/>
    <s v="RDCGCGTIBLA61U"/>
    <n v="1"/>
    <m/>
    <m/>
    <s v="BL620C G7"/>
    <s v="x86 Tier 3"/>
    <s v="x86"/>
    <m/>
    <s v="RHEL 5.9"/>
    <m/>
    <m/>
    <m/>
    <s v=""/>
    <m/>
    <m/>
    <m/>
    <m/>
    <m/>
    <m/>
    <m/>
    <m/>
    <m/>
    <m/>
    <m/>
    <m/>
    <m/>
    <m/>
    <m/>
    <n v="0"/>
    <n v="60"/>
    <x v="0"/>
    <m/>
    <x v="0"/>
    <n v="60"/>
    <m/>
    <x v="1"/>
    <n v="0"/>
    <m/>
    <n v="0"/>
    <m/>
    <m/>
    <n v="31.85"/>
    <n v="4.7774999999999999"/>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97.73"/>
    <n v="12.819624999999998"/>
    <n v="110.54962500000001"/>
    <n v="110.54962500000001"/>
    <n v="110.54962500000001"/>
    <n v="0"/>
    <n v="0"/>
    <n v="0"/>
    <n v="0"/>
    <n v="0"/>
    <n v="0"/>
    <n v="0"/>
    <n v="0"/>
    <n v="0"/>
    <n v="0"/>
    <n v="0"/>
    <n v="0"/>
    <n v="0"/>
    <n v="0"/>
    <n v="0"/>
  </r>
  <r>
    <s v="PCR-AVATAR"/>
    <m/>
    <m/>
    <m/>
    <m/>
    <m/>
    <m/>
    <m/>
    <m/>
    <m/>
    <m/>
    <m/>
    <e v="#NAME?"/>
    <x v="1"/>
    <m/>
    <m/>
    <x v="4"/>
    <s v="UAT"/>
    <m/>
    <m/>
    <m/>
    <s v="ESB [V5,V6], CMR, SNF - EMS"/>
    <s v="Veritas Cluster/CFS, TIBCO EMS, CA APM"/>
    <s v="AP"/>
    <s v="ESB"/>
    <s v="AP-ESB"/>
    <m/>
    <s v="Yes - Outside this BoM"/>
    <m/>
    <m/>
    <m/>
    <s v="a"/>
    <m/>
    <m/>
    <s v="RDCGCGTIBLA71U"/>
    <n v="1"/>
    <m/>
    <m/>
    <s v="BL620C G7"/>
    <s v="x86 Tier 3"/>
    <s v="x86"/>
    <m/>
    <s v="RHEL 5.9"/>
    <m/>
    <m/>
    <m/>
    <s v=""/>
    <m/>
    <m/>
    <m/>
    <m/>
    <m/>
    <m/>
    <m/>
    <m/>
    <m/>
    <m/>
    <m/>
    <m/>
    <m/>
    <m/>
    <m/>
    <n v="0"/>
    <n v="60"/>
    <x v="0"/>
    <m/>
    <x v="0"/>
    <m/>
    <m/>
    <x v="1"/>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30.330000000000002"/>
    <n v="6.7821249999999997"/>
    <n v="37.112124999999999"/>
    <n v="37.112124999999999"/>
    <n v="37.112124999999999"/>
    <n v="0"/>
    <n v="0"/>
    <n v="0"/>
    <n v="0"/>
    <n v="0"/>
    <n v="0"/>
    <n v="0"/>
    <n v="0"/>
    <n v="0"/>
    <n v="0"/>
    <n v="0"/>
    <n v="0"/>
    <n v="0"/>
    <n v="0"/>
    <n v="0"/>
  </r>
  <r>
    <s v="PCR-AVATAR"/>
    <m/>
    <m/>
    <m/>
    <m/>
    <m/>
    <m/>
    <m/>
    <m/>
    <m/>
    <m/>
    <m/>
    <e v="#NAME?"/>
    <x v="1"/>
    <m/>
    <m/>
    <x v="4"/>
    <s v="UAT"/>
    <m/>
    <m/>
    <m/>
    <s v="ESB [V5,V6], CMR, SNF - EMS"/>
    <s v="Veritas Cluster/CFS, TIBCO EMS, CA APM"/>
    <s v="AP"/>
    <s v="ESB"/>
    <s v="AP-ESB"/>
    <m/>
    <s v="Yes - Outside this BoM"/>
    <m/>
    <m/>
    <m/>
    <s v="a"/>
    <m/>
    <m/>
    <s v="RDCGCGTIBLA81U"/>
    <n v="1"/>
    <m/>
    <m/>
    <s v="BL620C G7"/>
    <s v="x86 Tier 3"/>
    <s v="x86"/>
    <m/>
    <s v="RHEL 5.9"/>
    <m/>
    <m/>
    <m/>
    <s v=""/>
    <m/>
    <m/>
    <m/>
    <m/>
    <m/>
    <m/>
    <m/>
    <m/>
    <m/>
    <m/>
    <m/>
    <m/>
    <m/>
    <m/>
    <m/>
    <n v="0"/>
    <n v="60"/>
    <x v="0"/>
    <m/>
    <x v="0"/>
    <n v="60"/>
    <m/>
    <x v="1"/>
    <n v="0"/>
    <m/>
    <n v="0"/>
    <m/>
    <m/>
    <n v="31.85"/>
    <n v="4.7774999999999999"/>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97.73"/>
    <n v="12.819624999999998"/>
    <n v="110.54962500000001"/>
    <n v="110.54962500000001"/>
    <n v="110.54962500000001"/>
    <n v="0"/>
    <n v="0"/>
    <n v="0"/>
    <n v="0"/>
    <n v="0"/>
    <n v="0"/>
    <n v="0"/>
    <n v="0"/>
    <n v="0"/>
    <n v="0"/>
    <n v="0"/>
    <n v="0"/>
    <n v="0"/>
    <n v="0"/>
    <n v="0"/>
  </r>
  <r>
    <s v="PCR-AVATAR"/>
    <m/>
    <m/>
    <m/>
    <m/>
    <m/>
    <m/>
    <m/>
    <m/>
    <m/>
    <m/>
    <m/>
    <e v="#NAME?"/>
    <x v="1"/>
    <m/>
    <m/>
    <x v="4"/>
    <s v="UAT"/>
    <m/>
    <m/>
    <m/>
    <s v="ESB [V5,V6], CMR, SNF - EMS"/>
    <s v="Veritas Cluster/CFS, TIBCO EMS, CA APM"/>
    <s v="AP"/>
    <s v="ESB"/>
    <s v="AP-ESB"/>
    <m/>
    <s v="Yes - Outside this BoM"/>
    <m/>
    <m/>
    <m/>
    <s v="a"/>
    <m/>
    <m/>
    <s v="RDCGCGTIBLA91U"/>
    <n v="1"/>
    <m/>
    <m/>
    <s v="BL620C G7"/>
    <s v="x86 Tier 3"/>
    <s v="x86"/>
    <m/>
    <s v="RHEL 5.9"/>
    <m/>
    <m/>
    <m/>
    <s v=""/>
    <m/>
    <m/>
    <m/>
    <m/>
    <m/>
    <m/>
    <m/>
    <m/>
    <m/>
    <m/>
    <m/>
    <m/>
    <m/>
    <m/>
    <m/>
    <n v="0"/>
    <n v="60"/>
    <x v="0"/>
    <m/>
    <x v="0"/>
    <m/>
    <m/>
    <x v="1"/>
    <n v="0"/>
    <m/>
    <n v="0"/>
    <m/>
    <m/>
    <n v="16.850000000000001"/>
    <n v="2.5275000000000003"/>
    <m/>
    <m/>
    <m/>
    <m/>
    <m/>
    <m/>
    <m/>
    <m/>
    <m/>
    <m/>
    <s v="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0"/>
    <n v="0"/>
    <n v="0"/>
    <m/>
    <m/>
    <m/>
    <n v="0"/>
    <n v="30.330000000000002"/>
    <n v="6.7821249999999997"/>
    <n v="37.112124999999999"/>
    <n v="37.112124999999999"/>
    <n v="37.112124999999999"/>
    <n v="0"/>
    <n v="0"/>
    <n v="0"/>
    <n v="0"/>
    <n v="0"/>
    <n v="0"/>
    <n v="0"/>
    <n v="0"/>
    <n v="0"/>
    <n v="0"/>
    <n v="0"/>
    <n v="0"/>
    <n v="0"/>
    <n v="0"/>
    <n v="0"/>
  </r>
  <r>
    <s v="PCR-AVATAR"/>
    <m/>
    <m/>
    <m/>
    <m/>
    <m/>
    <m/>
    <m/>
    <m/>
    <m/>
    <m/>
    <m/>
    <e v="#NAME?"/>
    <x v="1"/>
    <m/>
    <m/>
    <x v="4"/>
    <s v="UAT"/>
    <m/>
    <m/>
    <m/>
    <s v="ESB-Digital - EMS"/>
    <s v="Veritas Cluster/CFS, TIBCO EMS, CA APM"/>
    <s v="AP"/>
    <s v="ESB"/>
    <s v="AP-ESB"/>
    <m/>
    <s v="Yes - Inside this BoM"/>
    <m/>
    <m/>
    <m/>
    <m/>
    <m/>
    <m/>
    <s v="RDC-UAT-DIG-ESB-EMS-SVR1"/>
    <n v="1"/>
    <m/>
    <m/>
    <s v="BL620C G7"/>
    <s v="x86 Tier 3"/>
    <s v="x86"/>
    <m/>
    <s v="RHEL 5.9"/>
    <m/>
    <m/>
    <n v="16"/>
    <s v=""/>
    <m/>
    <m/>
    <m/>
    <m/>
    <m/>
    <m/>
    <m/>
    <m/>
    <m/>
    <m/>
    <m/>
    <m/>
    <m/>
    <m/>
    <m/>
    <n v="0"/>
    <n v="270"/>
    <x v="6"/>
    <m/>
    <x v="6"/>
    <n v="120"/>
    <m/>
    <x v="1"/>
    <n v="0"/>
    <m/>
    <n v="0"/>
    <m/>
    <m/>
    <n v="105.825"/>
    <n v="15.873749999999999"/>
    <m/>
    <m/>
    <m/>
    <m/>
    <m/>
    <m/>
    <m/>
    <m/>
    <m/>
    <m/>
    <s v="Existing Server 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16"/>
    <n v="0"/>
    <n v="0"/>
    <m/>
    <n v="3000"/>
    <n v="420"/>
    <n v="0"/>
    <n v="271.28500000000003"/>
    <n v="42.594562500000002"/>
    <n v="313.87956250000002"/>
    <n v="3313.8795625000002"/>
    <n v="733.87956250000002"/>
    <n v="0"/>
    <n v="0"/>
    <n v="0"/>
    <n v="0"/>
    <n v="0"/>
    <n v="0"/>
    <n v="0"/>
    <n v="0"/>
    <n v="0"/>
    <n v="0"/>
    <n v="0"/>
    <n v="0"/>
    <n v="0"/>
    <n v="0"/>
    <n v="0"/>
  </r>
  <r>
    <s v="PCR-AVATAR"/>
    <m/>
    <m/>
    <m/>
    <m/>
    <m/>
    <m/>
    <m/>
    <m/>
    <m/>
    <m/>
    <m/>
    <e v="#NAME?"/>
    <x v="1"/>
    <m/>
    <m/>
    <x v="4"/>
    <s v="UAT"/>
    <m/>
    <m/>
    <m/>
    <s v="ESB-Digital - EMS"/>
    <s v="Veritas Cluster/CFS, TIBCO EMS, CA APM"/>
    <s v="AP"/>
    <s v="ESB"/>
    <s v="AP-ESB"/>
    <m/>
    <s v="Yes - Inside this BoM"/>
    <m/>
    <m/>
    <m/>
    <m/>
    <m/>
    <m/>
    <s v="RDC-UAT-DIG-ESB-EMS-SVR2"/>
    <n v="1"/>
    <m/>
    <m/>
    <s v="BL620C G7"/>
    <s v="x86 Tier 3"/>
    <s v="x86"/>
    <m/>
    <s v="RHEL 5.9"/>
    <m/>
    <m/>
    <n v="16"/>
    <s v=""/>
    <m/>
    <m/>
    <m/>
    <m/>
    <m/>
    <m/>
    <m/>
    <m/>
    <m/>
    <m/>
    <m/>
    <m/>
    <m/>
    <m/>
    <m/>
    <n v="0"/>
    <n v="150"/>
    <x v="8"/>
    <m/>
    <x v="8"/>
    <m/>
    <m/>
    <x v="1"/>
    <n v="0"/>
    <m/>
    <n v="0"/>
    <m/>
    <m/>
    <n v="42.125"/>
    <n v="6.3187499999999996"/>
    <m/>
    <m/>
    <m/>
    <m/>
    <m/>
    <m/>
    <m/>
    <m/>
    <m/>
    <m/>
    <s v="Existing Server 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16"/>
    <n v="0"/>
    <n v="0"/>
    <m/>
    <m/>
    <m/>
    <n v="0"/>
    <n v="75.825000000000003"/>
    <n v="16.955312499999998"/>
    <n v="92.780312500000008"/>
    <n v="92.780312500000008"/>
    <n v="92.780312500000008"/>
    <n v="0"/>
    <n v="0"/>
    <n v="0"/>
    <n v="0"/>
    <n v="0"/>
    <n v="0"/>
    <n v="0"/>
    <n v="0"/>
    <n v="0"/>
    <n v="0"/>
    <n v="0"/>
    <n v="0"/>
    <n v="0"/>
    <n v="0"/>
    <n v="0"/>
  </r>
  <r>
    <s v="PCR-AVATAR"/>
    <m/>
    <m/>
    <m/>
    <m/>
    <m/>
    <m/>
    <m/>
    <m/>
    <m/>
    <m/>
    <m/>
    <e v="#NAME?"/>
    <x v="1"/>
    <m/>
    <m/>
    <x v="4"/>
    <s v="UAT"/>
    <m/>
    <m/>
    <m/>
    <s v="ESB-Digital - EMS"/>
    <s v="Veritas Cluster/CFS, TIBCO EMS, CA APM"/>
    <s v="AP"/>
    <s v="ESB"/>
    <s v="AP-ESB"/>
    <m/>
    <s v="Yes - Inside this BoM"/>
    <m/>
    <m/>
    <m/>
    <m/>
    <m/>
    <m/>
    <s v="RDC-UAT-DIG-ESB-EMS-SVR3"/>
    <n v="1"/>
    <m/>
    <m/>
    <s v="BL620C G7"/>
    <s v="x86 Tier 3"/>
    <s v="x86"/>
    <m/>
    <s v="RHEL 5.9"/>
    <m/>
    <m/>
    <n v="16"/>
    <s v=""/>
    <m/>
    <m/>
    <m/>
    <m/>
    <m/>
    <m/>
    <m/>
    <m/>
    <m/>
    <m/>
    <m/>
    <m/>
    <m/>
    <m/>
    <m/>
    <n v="0"/>
    <n v="270"/>
    <x v="6"/>
    <m/>
    <x v="6"/>
    <n v="120"/>
    <m/>
    <x v="1"/>
    <n v="0"/>
    <m/>
    <n v="0"/>
    <m/>
    <m/>
    <n v="105.825"/>
    <n v="15.873749999999999"/>
    <m/>
    <m/>
    <m/>
    <m/>
    <m/>
    <m/>
    <m/>
    <m/>
    <m/>
    <m/>
    <s v="Existing Server 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16"/>
    <n v="0"/>
    <n v="0"/>
    <m/>
    <m/>
    <m/>
    <n v="0"/>
    <n v="271.28500000000003"/>
    <n v="42.594562500000002"/>
    <n v="313.87956250000002"/>
    <n v="313.87956250000002"/>
    <n v="313.87956250000002"/>
    <n v="0"/>
    <n v="0"/>
    <n v="0"/>
    <n v="0"/>
    <n v="0"/>
    <n v="0"/>
    <n v="0"/>
    <n v="0"/>
    <n v="0"/>
    <n v="0"/>
    <n v="0"/>
    <n v="0"/>
    <n v="0"/>
    <n v="0"/>
    <n v="0"/>
  </r>
  <r>
    <s v="PCR-AVATAR"/>
    <m/>
    <m/>
    <m/>
    <m/>
    <m/>
    <m/>
    <m/>
    <m/>
    <m/>
    <m/>
    <m/>
    <e v="#NAME?"/>
    <x v="1"/>
    <m/>
    <m/>
    <x v="4"/>
    <s v="UAT"/>
    <m/>
    <m/>
    <m/>
    <s v="ESB-Digital - EMS"/>
    <s v="Veritas Cluster/CFS, TIBCO EMS, CA APM"/>
    <s v="AP"/>
    <s v="ESB"/>
    <s v="AP-ESB"/>
    <m/>
    <s v="Yes - Inside this BoM"/>
    <m/>
    <m/>
    <m/>
    <m/>
    <m/>
    <m/>
    <s v="RDC-UAT-DIG-ESB-EMS-SVR4"/>
    <n v="1"/>
    <m/>
    <m/>
    <s v="BL620C G7"/>
    <s v="x86 Tier 3"/>
    <s v="x86"/>
    <m/>
    <s v="RHEL 5.9"/>
    <m/>
    <m/>
    <n v="16"/>
    <s v=""/>
    <m/>
    <m/>
    <m/>
    <m/>
    <m/>
    <m/>
    <m/>
    <m/>
    <m/>
    <m/>
    <m/>
    <m/>
    <m/>
    <m/>
    <m/>
    <n v="0"/>
    <n v="150"/>
    <x v="8"/>
    <m/>
    <x v="8"/>
    <m/>
    <m/>
    <x v="1"/>
    <n v="0"/>
    <m/>
    <n v="0"/>
    <m/>
    <m/>
    <n v="42.125"/>
    <n v="6.3187499999999996"/>
    <m/>
    <m/>
    <m/>
    <m/>
    <m/>
    <m/>
    <m/>
    <m/>
    <m/>
    <m/>
    <s v="Existing Server to be reused - if no techstack change "/>
    <m/>
    <n v="0"/>
    <n v="0"/>
    <n v="0"/>
    <n v="0"/>
    <n v="0"/>
    <n v="0"/>
    <n v="0"/>
    <n v="0"/>
    <n v="0"/>
    <n v="0"/>
    <n v="0"/>
    <n v="0"/>
    <n v="0"/>
    <n v="0"/>
    <n v="0"/>
    <n v="0"/>
    <n v="0"/>
    <n v="0"/>
    <n v="0"/>
    <n v="0"/>
    <n v="0"/>
    <n v="0"/>
    <n v="0"/>
    <n v="0"/>
    <n v="0"/>
    <n v="0"/>
    <n v="0"/>
    <n v="0"/>
    <n v="0"/>
    <n v="0"/>
    <n v="0"/>
    <n v="0"/>
    <n v="0"/>
    <n v="0"/>
    <n v="0"/>
    <n v="0"/>
    <n v="0"/>
    <n v="0"/>
    <n v="0"/>
    <n v="0"/>
    <n v="0"/>
    <n v="0"/>
    <n v="0"/>
    <n v="0"/>
    <n v="0"/>
    <n v="0"/>
    <n v="0"/>
    <n v="0"/>
    <n v="0"/>
    <n v="16"/>
    <n v="0"/>
    <n v="0"/>
    <m/>
    <m/>
    <m/>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1"/>
    <n v="1"/>
    <m/>
    <m/>
    <s v="BL620C G7"/>
    <s v="x86 Tier 3"/>
    <s v="x86"/>
    <m/>
    <s v="RHEL 5.9"/>
    <m/>
    <m/>
    <n v="16"/>
    <s v=""/>
    <m/>
    <m/>
    <m/>
    <m/>
    <m/>
    <m/>
    <m/>
    <m/>
    <m/>
    <m/>
    <m/>
    <m/>
    <m/>
    <m/>
    <m/>
    <n v="0"/>
    <n v="150"/>
    <x v="8"/>
    <m/>
    <x v="8"/>
    <m/>
    <m/>
    <x v="1"/>
    <n v="0"/>
    <m/>
    <n v="0"/>
    <m/>
    <m/>
    <n v="42.125"/>
    <n v="6.3187499999999996"/>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n v="0"/>
    <n v="0"/>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2"/>
    <n v="1"/>
    <m/>
    <m/>
    <s v="BL620C G7"/>
    <s v="x86 Tier 3"/>
    <s v="x86"/>
    <m/>
    <s v="RHEL 5.9"/>
    <m/>
    <m/>
    <n v="16"/>
    <s v=""/>
    <m/>
    <m/>
    <m/>
    <m/>
    <m/>
    <m/>
    <m/>
    <m/>
    <m/>
    <m/>
    <m/>
    <m/>
    <m/>
    <m/>
    <m/>
    <n v="0"/>
    <n v="150"/>
    <x v="8"/>
    <m/>
    <x v="8"/>
    <m/>
    <m/>
    <x v="1"/>
    <n v="0"/>
    <m/>
    <n v="0"/>
    <m/>
    <m/>
    <n v="42.125"/>
    <n v="6.3187499999999996"/>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m/>
    <m/>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3"/>
    <n v="1"/>
    <m/>
    <m/>
    <s v="BL620C G7"/>
    <s v="x86 Tier 3"/>
    <s v="x86"/>
    <m/>
    <s v="RHEL 5.9"/>
    <m/>
    <m/>
    <n v="16"/>
    <s v=""/>
    <m/>
    <m/>
    <m/>
    <m/>
    <m/>
    <m/>
    <m/>
    <m/>
    <m/>
    <m/>
    <m/>
    <m/>
    <m/>
    <m/>
    <m/>
    <n v="0"/>
    <n v="150"/>
    <x v="8"/>
    <m/>
    <x v="8"/>
    <m/>
    <m/>
    <x v="1"/>
    <n v="0"/>
    <m/>
    <n v="0"/>
    <m/>
    <m/>
    <n v="42.125"/>
    <n v="6.3187499999999996"/>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m/>
    <m/>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4"/>
    <n v="1"/>
    <m/>
    <m/>
    <s v="BL620C G7"/>
    <s v="x86 Tier 3"/>
    <s v="x86"/>
    <m/>
    <s v="RHEL 5.9"/>
    <m/>
    <m/>
    <n v="16"/>
    <s v=""/>
    <m/>
    <m/>
    <m/>
    <m/>
    <m/>
    <m/>
    <m/>
    <m/>
    <m/>
    <m/>
    <m/>
    <m/>
    <m/>
    <m/>
    <m/>
    <n v="0"/>
    <n v="150"/>
    <x v="8"/>
    <m/>
    <x v="8"/>
    <m/>
    <m/>
    <x v="1"/>
    <n v="0"/>
    <m/>
    <n v="0"/>
    <m/>
    <m/>
    <n v="42.125"/>
    <n v="6.3187499999999996"/>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m/>
    <m/>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5"/>
    <n v="1"/>
    <m/>
    <m/>
    <s v="BL620C G7"/>
    <s v="x86 Tier 3"/>
    <s v="x86"/>
    <m/>
    <s v="RHEL 5.9"/>
    <m/>
    <m/>
    <n v="16"/>
    <s v=""/>
    <m/>
    <m/>
    <m/>
    <m/>
    <m/>
    <m/>
    <m/>
    <m/>
    <m/>
    <m/>
    <m/>
    <m/>
    <m/>
    <m/>
    <m/>
    <n v="0"/>
    <n v="150"/>
    <x v="8"/>
    <m/>
    <x v="8"/>
    <m/>
    <m/>
    <x v="1"/>
    <n v="0"/>
    <m/>
    <n v="0"/>
    <m/>
    <m/>
    <n v="42.125"/>
    <n v="6.3187499999999996"/>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n v="0"/>
    <n v="0"/>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6"/>
    <n v="1"/>
    <m/>
    <m/>
    <s v="BL620C G7"/>
    <s v="x86 Tier 3"/>
    <s v="x86"/>
    <m/>
    <s v="RHEL 5.9"/>
    <m/>
    <m/>
    <n v="16"/>
    <s v=""/>
    <m/>
    <m/>
    <m/>
    <m/>
    <m/>
    <m/>
    <m/>
    <m/>
    <m/>
    <m/>
    <m/>
    <m/>
    <m/>
    <m/>
    <m/>
    <n v="0"/>
    <n v="150"/>
    <x v="8"/>
    <m/>
    <x v="8"/>
    <m/>
    <m/>
    <x v="1"/>
    <n v="0"/>
    <m/>
    <n v="0"/>
    <m/>
    <m/>
    <n v="42.125"/>
    <n v="6.3187499999999996"/>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n v="0"/>
    <n v="0"/>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7"/>
    <n v="1"/>
    <m/>
    <m/>
    <s v="BL620C G7"/>
    <s v="x86 Tier 3"/>
    <s v="x86"/>
    <m/>
    <s v="RHEL 5.9"/>
    <m/>
    <m/>
    <n v="16"/>
    <s v=""/>
    <m/>
    <m/>
    <m/>
    <m/>
    <m/>
    <m/>
    <m/>
    <m/>
    <m/>
    <m/>
    <m/>
    <m/>
    <m/>
    <m/>
    <m/>
    <n v="0"/>
    <n v="150"/>
    <x v="8"/>
    <m/>
    <x v="8"/>
    <n v="100"/>
    <m/>
    <x v="1"/>
    <n v="0"/>
    <m/>
    <n v="0"/>
    <m/>
    <m/>
    <n v="67.125"/>
    <n v="10.06875"/>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n v="0"/>
    <n v="0"/>
    <n v="0"/>
    <n v="176.92500000000001"/>
    <n v="27.017812499999998"/>
    <n v="203.9428125"/>
    <n v="203.9428125"/>
    <n v="203.9428125"/>
    <n v="0"/>
    <n v="0"/>
    <n v="0"/>
    <n v="0"/>
    <n v="0"/>
    <n v="0"/>
    <n v="0"/>
    <n v="0"/>
    <n v="0"/>
    <n v="0"/>
    <n v="0"/>
    <n v="0"/>
    <n v="0"/>
    <n v="0"/>
    <n v="0"/>
  </r>
  <r>
    <s v="PCR-AVATAR"/>
    <m/>
    <m/>
    <m/>
    <m/>
    <m/>
    <m/>
    <m/>
    <m/>
    <m/>
    <m/>
    <m/>
    <e v="#NAME?"/>
    <x v="1"/>
    <m/>
    <m/>
    <x v="4"/>
    <s v="UAT"/>
    <m/>
    <m/>
    <m/>
    <s v="ESB-Digital -BW"/>
    <s v="TIBCO BW, CA APM"/>
    <s v="AP"/>
    <s v="ESB"/>
    <s v="AP-ESB"/>
    <m/>
    <s v="Yes - Inside this BoM"/>
    <m/>
    <m/>
    <m/>
    <m/>
    <m/>
    <m/>
    <s v="RDC-UAT-DIG-ESB-BW-SVR8"/>
    <n v="1"/>
    <m/>
    <m/>
    <s v="BL620C G7"/>
    <s v="x86 Tier 3"/>
    <s v="x86"/>
    <m/>
    <s v="RHEL 5.9"/>
    <m/>
    <m/>
    <n v="16"/>
    <s v=""/>
    <m/>
    <m/>
    <m/>
    <m/>
    <m/>
    <m/>
    <m/>
    <m/>
    <m/>
    <m/>
    <m/>
    <m/>
    <m/>
    <m/>
    <m/>
    <n v="0"/>
    <n v="150"/>
    <x v="8"/>
    <m/>
    <x v="8"/>
    <m/>
    <m/>
    <x v="1"/>
    <n v="0"/>
    <m/>
    <n v="0"/>
    <m/>
    <m/>
    <n v="42.125"/>
    <n v="6.3187499999999996"/>
    <m/>
    <m/>
    <m/>
    <m/>
    <m/>
    <m/>
    <m/>
    <m/>
    <m/>
    <m/>
    <s v="Existing BAU server to be released after cutover -Hump"/>
    <m/>
    <n v="0"/>
    <n v="0"/>
    <n v="0"/>
    <n v="0"/>
    <n v="0"/>
    <n v="0"/>
    <n v="0"/>
    <n v="0"/>
    <n v="0"/>
    <n v="0"/>
    <n v="0"/>
    <n v="0"/>
    <n v="0"/>
    <n v="0"/>
    <n v="0"/>
    <n v="0"/>
    <n v="0"/>
    <n v="0"/>
    <n v="0"/>
    <n v="0"/>
    <n v="0"/>
    <n v="0"/>
    <n v="0"/>
    <n v="0"/>
    <n v="0"/>
    <n v="0"/>
    <n v="0"/>
    <n v="0"/>
    <n v="0"/>
    <n v="0"/>
    <n v="0"/>
    <n v="0"/>
    <n v="0"/>
    <n v="0"/>
    <n v="0"/>
    <n v="0"/>
    <n v="0"/>
    <n v="0"/>
    <n v="0"/>
    <n v="0"/>
    <n v="0"/>
    <n v="0"/>
    <n v="0"/>
    <n v="0"/>
    <n v="0"/>
    <n v="0"/>
    <n v="0"/>
    <n v="0"/>
    <n v="16"/>
    <n v="0"/>
    <n v="0"/>
    <n v="0"/>
    <m/>
    <n v="0"/>
    <n v="0"/>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9"/>
    <n v="1"/>
    <m/>
    <m/>
    <s v="BL620C G7"/>
    <s v="x86 Tier 3"/>
    <s v="x86"/>
    <m/>
    <s v="RHEL 5.9"/>
    <m/>
    <m/>
    <n v="16"/>
    <s v=""/>
    <m/>
    <m/>
    <m/>
    <m/>
    <m/>
    <m/>
    <m/>
    <m/>
    <m/>
    <m/>
    <m/>
    <m/>
    <m/>
    <m/>
    <m/>
    <n v="0"/>
    <n v="150"/>
    <x v="8"/>
    <m/>
    <x v="8"/>
    <m/>
    <m/>
    <x v="1"/>
    <n v="0"/>
    <m/>
    <n v="0"/>
    <m/>
    <m/>
    <n v="42.125"/>
    <n v="6.3187499999999996"/>
    <m/>
    <m/>
    <m/>
    <m/>
    <m/>
    <m/>
    <m/>
    <m/>
    <m/>
    <m/>
    <m/>
    <m/>
    <n v="0"/>
    <n v="0"/>
    <n v="0"/>
    <n v="0"/>
    <n v="0"/>
    <n v="0"/>
    <n v="0"/>
    <n v="0"/>
    <n v="0"/>
    <n v="0"/>
    <n v="0"/>
    <n v="0"/>
    <n v="0"/>
    <n v="0"/>
    <n v="0"/>
    <n v="0"/>
    <n v="0"/>
    <n v="0"/>
    <n v="0"/>
    <n v="0"/>
    <n v="0"/>
    <n v="0"/>
    <n v="0"/>
    <n v="0"/>
    <n v="0"/>
    <n v="0"/>
    <n v="0"/>
    <n v="0"/>
    <n v="0"/>
    <n v="0"/>
    <n v="0"/>
    <n v="0"/>
    <n v="0"/>
    <n v="0"/>
    <n v="0"/>
    <n v="0"/>
    <n v="0"/>
    <n v="0"/>
    <n v="0"/>
    <n v="0"/>
    <n v="0"/>
    <n v="0"/>
    <n v="0"/>
    <n v="0"/>
    <n v="0"/>
    <n v="0"/>
    <n v="0"/>
    <n v="0"/>
    <n v="16"/>
    <n v="0"/>
    <n v="0"/>
    <n v="0"/>
    <m/>
    <n v="0"/>
    <n v="0"/>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10"/>
    <n v="1"/>
    <m/>
    <m/>
    <s v="BL620C G7"/>
    <s v="x86 Tier 3"/>
    <s v="x86"/>
    <m/>
    <s v="RHEL 5.9"/>
    <m/>
    <m/>
    <n v="16"/>
    <s v=""/>
    <m/>
    <m/>
    <m/>
    <m/>
    <m/>
    <m/>
    <m/>
    <m/>
    <m/>
    <m/>
    <m/>
    <m/>
    <m/>
    <m/>
    <m/>
    <n v="0"/>
    <n v="150"/>
    <x v="8"/>
    <m/>
    <x v="8"/>
    <m/>
    <m/>
    <x v="1"/>
    <n v="0"/>
    <m/>
    <n v="0"/>
    <m/>
    <m/>
    <n v="42.125"/>
    <n v="6.3187499999999996"/>
    <m/>
    <m/>
    <m/>
    <m/>
    <m/>
    <m/>
    <m/>
    <m/>
    <m/>
    <m/>
    <m/>
    <m/>
    <n v="0"/>
    <n v="0"/>
    <n v="0"/>
    <n v="0"/>
    <n v="0"/>
    <n v="0"/>
    <n v="0"/>
    <n v="0"/>
    <n v="0"/>
    <n v="0"/>
    <n v="0"/>
    <n v="0"/>
    <n v="0"/>
    <n v="0"/>
    <n v="0"/>
    <n v="0"/>
    <n v="0"/>
    <n v="0"/>
    <n v="0"/>
    <n v="0"/>
    <n v="0"/>
    <n v="0"/>
    <n v="0"/>
    <n v="0"/>
    <n v="0"/>
    <n v="0"/>
    <n v="0"/>
    <n v="0"/>
    <n v="0"/>
    <n v="0"/>
    <n v="0"/>
    <n v="0"/>
    <n v="0"/>
    <n v="0"/>
    <n v="0"/>
    <n v="0"/>
    <n v="0"/>
    <n v="0"/>
    <n v="0"/>
    <n v="0"/>
    <n v="0"/>
    <n v="0"/>
    <n v="0"/>
    <n v="0"/>
    <n v="0"/>
    <n v="0"/>
    <n v="0"/>
    <n v="0"/>
    <n v="16"/>
    <n v="0"/>
    <n v="0"/>
    <n v="0"/>
    <m/>
    <m/>
    <m/>
    <n v="0"/>
    <n v="75.825000000000003"/>
    <n v="16.955312499999998"/>
    <n v="92.780312500000008"/>
    <n v="92.780312500000008"/>
    <n v="92.780312500000008"/>
    <n v="0"/>
    <n v="0"/>
    <n v="0"/>
    <n v="0"/>
    <n v="0"/>
    <n v="0"/>
    <n v="0"/>
    <n v="0"/>
    <n v="0"/>
    <n v="0"/>
    <n v="0"/>
    <n v="0"/>
    <n v="0"/>
    <n v="0"/>
    <n v="0"/>
  </r>
  <r>
    <s v="PCR-AVATAR"/>
    <m/>
    <m/>
    <m/>
    <m/>
    <m/>
    <m/>
    <m/>
    <m/>
    <m/>
    <m/>
    <m/>
    <e v="#NAME?"/>
    <x v="1"/>
    <m/>
    <m/>
    <x v="4"/>
    <s v="UAT"/>
    <m/>
    <m/>
    <m/>
    <s v="ESB-Digital -BW"/>
    <s v="TIBCO BW, CA APM"/>
    <s v="AP"/>
    <s v="ESB"/>
    <s v="AP-ESB"/>
    <m/>
    <s v="Yes - Inside this BoM"/>
    <m/>
    <m/>
    <m/>
    <m/>
    <m/>
    <m/>
    <s v="RDC-UAT-DIG-ESB-BW-SVR11"/>
    <n v="1"/>
    <m/>
    <m/>
    <s v="IBM p7 p795"/>
    <s v="IBM P-Series Tier 2"/>
    <s v="pSeries"/>
    <m/>
    <s v="RHEL 5.9"/>
    <m/>
    <m/>
    <n v="16"/>
    <m/>
    <m/>
    <m/>
    <m/>
    <m/>
    <m/>
    <m/>
    <m/>
    <m/>
    <m/>
    <m/>
    <m/>
    <m/>
    <m/>
    <m/>
    <m/>
    <n v="0"/>
    <n v="150"/>
    <x v="8"/>
    <m/>
    <x v="8"/>
    <m/>
    <m/>
    <x v="1"/>
    <n v="0"/>
    <m/>
    <n v="0"/>
    <m/>
    <m/>
    <n v="42.125"/>
    <n v="6.3187499999999996"/>
    <m/>
    <m/>
    <m/>
    <m/>
    <m/>
    <m/>
    <m/>
    <m/>
    <m/>
    <m/>
    <m/>
    <m/>
    <n v="0"/>
    <n v="0"/>
    <n v="0"/>
    <n v="0"/>
    <n v="0"/>
    <n v="0"/>
    <n v="0"/>
    <n v="0"/>
    <n v="0"/>
    <n v="0"/>
    <n v="0"/>
    <n v="0"/>
    <n v="0"/>
    <n v="0"/>
    <n v="0"/>
    <n v="0"/>
    <n v="0"/>
    <n v="0"/>
    <n v="0"/>
    <n v="0"/>
    <n v="0"/>
    <n v="0"/>
    <n v="0"/>
    <n v="0"/>
    <n v="0"/>
    <n v="0"/>
    <n v="0"/>
    <n v="0"/>
    <n v="0"/>
    <n v="0"/>
    <n v="0"/>
    <n v="0"/>
    <n v="0"/>
    <n v="0"/>
    <n v="0"/>
    <n v="0"/>
    <n v="0"/>
    <n v="0"/>
    <n v="0"/>
    <n v="0"/>
    <n v="0"/>
    <n v="0"/>
    <n v="0"/>
    <n v="0"/>
    <n v="0"/>
    <n v="0"/>
    <n v="0"/>
    <n v="0"/>
    <n v="16"/>
    <n v="0"/>
    <n v="0"/>
    <n v="0"/>
    <m/>
    <n v="172.46639999999999"/>
    <n v="30.198399999999999"/>
    <n v="0"/>
    <n v="75.825000000000003"/>
    <n v="16.955312499999998"/>
    <n v="92.780312500000008"/>
    <n v="265.2467125"/>
    <n v="122.9787125"/>
    <n v="0"/>
    <n v="0"/>
    <n v="0"/>
    <n v="0"/>
    <n v="0"/>
    <n v="0"/>
    <n v="0"/>
    <n v="0"/>
    <n v="0"/>
    <n v="0"/>
    <n v="0"/>
    <n v="0"/>
    <n v="0"/>
    <n v="0"/>
    <n v="0"/>
  </r>
  <r>
    <s v="PCR-AVATAR"/>
    <m/>
    <m/>
    <m/>
    <m/>
    <m/>
    <m/>
    <m/>
    <m/>
    <m/>
    <m/>
    <m/>
    <e v="#NAME?"/>
    <x v="1"/>
    <m/>
    <m/>
    <x v="4"/>
    <s v="UAT"/>
    <m/>
    <m/>
    <m/>
    <s v="ESB-Digital -BW"/>
    <s v="TIBCO BW, CA APM"/>
    <s v="AP"/>
    <s v="ESB"/>
    <s v="AP-ESB"/>
    <m/>
    <s v="Yes - Inside this BoM"/>
    <m/>
    <m/>
    <m/>
    <m/>
    <m/>
    <m/>
    <s v="RDC-UAT-DIG-ESB-BW-SVR12"/>
    <n v="1"/>
    <m/>
    <m/>
    <s v="IBM p7 p795"/>
    <s v="IBM P-Series Tier 2"/>
    <s v="pSeries"/>
    <m/>
    <s v="RHEL 5.9"/>
    <m/>
    <m/>
    <n v="16"/>
    <m/>
    <m/>
    <m/>
    <m/>
    <m/>
    <m/>
    <m/>
    <m/>
    <m/>
    <m/>
    <m/>
    <m/>
    <m/>
    <m/>
    <m/>
    <m/>
    <n v="0"/>
    <n v="150"/>
    <x v="8"/>
    <m/>
    <x v="8"/>
    <m/>
    <m/>
    <x v="1"/>
    <n v="0"/>
    <m/>
    <n v="0"/>
    <m/>
    <m/>
    <n v="42.125"/>
    <n v="6.3187499999999996"/>
    <m/>
    <m/>
    <m/>
    <m/>
    <m/>
    <m/>
    <m/>
    <m/>
    <m/>
    <m/>
    <m/>
    <m/>
    <n v="0"/>
    <n v="0"/>
    <n v="0"/>
    <n v="0"/>
    <n v="0"/>
    <n v="0"/>
    <n v="0"/>
    <n v="0"/>
    <n v="0"/>
    <n v="0"/>
    <n v="0"/>
    <n v="0"/>
    <n v="0"/>
    <n v="0"/>
    <n v="0"/>
    <n v="0"/>
    <n v="0"/>
    <n v="0"/>
    <n v="0"/>
    <n v="0"/>
    <n v="0"/>
    <n v="0"/>
    <n v="0"/>
    <n v="0"/>
    <n v="0"/>
    <n v="0"/>
    <n v="0"/>
    <n v="0"/>
    <n v="0"/>
    <n v="0"/>
    <n v="0"/>
    <n v="0"/>
    <n v="0"/>
    <n v="0"/>
    <n v="0"/>
    <n v="0"/>
    <n v="0"/>
    <n v="0"/>
    <n v="0"/>
    <n v="0"/>
    <n v="0"/>
    <n v="0"/>
    <n v="0"/>
    <n v="0"/>
    <n v="0"/>
    <n v="0"/>
    <n v="0"/>
    <n v="0"/>
    <n v="16"/>
    <n v="0"/>
    <n v="0"/>
    <n v="0"/>
    <m/>
    <n v="172.46639999999999"/>
    <n v="30.198399999999999"/>
    <n v="0"/>
    <n v="75.825000000000003"/>
    <n v="16.955312499999998"/>
    <n v="92.780312500000008"/>
    <n v="265.2467125"/>
    <n v="122.9787125"/>
    <n v="0"/>
    <n v="0"/>
    <n v="0"/>
    <n v="0"/>
    <n v="0"/>
    <n v="0"/>
    <n v="0"/>
    <n v="0"/>
    <n v="0"/>
    <n v="0"/>
    <n v="0"/>
    <n v="0"/>
    <n v="0"/>
    <n v="0"/>
    <n v="0"/>
  </r>
  <r>
    <s v="PCR-AVATAR"/>
    <m/>
    <m/>
    <m/>
    <m/>
    <m/>
    <m/>
    <m/>
    <m/>
    <m/>
    <m/>
    <m/>
    <e v="#NAME?"/>
    <x v="1"/>
    <m/>
    <m/>
    <x v="4"/>
    <s v="UAT"/>
    <m/>
    <m/>
    <m/>
    <s v="Oracle RAC - ESB"/>
    <s v="Oracle RAC pSeries"/>
    <s v="DB"/>
    <s v="ESB"/>
    <s v="DB-ESB"/>
    <m/>
    <s v="Yes - Outside this BoM"/>
    <m/>
    <m/>
    <m/>
    <s v="a"/>
    <m/>
    <m/>
    <s v="rdcgcgracad14u"/>
    <n v="1"/>
    <m/>
    <m/>
    <s v="IBM p7 p795"/>
    <s v="IBM P-Series Tier 2"/>
    <s v="pSeries"/>
    <m/>
    <s v="AIX 6.1"/>
    <m/>
    <m/>
    <m/>
    <m/>
    <m/>
    <m/>
    <m/>
    <m/>
    <m/>
    <m/>
    <m/>
    <m/>
    <m/>
    <m/>
    <m/>
    <m/>
    <m/>
    <m/>
    <m/>
    <n v="0"/>
    <n v="100"/>
    <x v="3"/>
    <m/>
    <x v="3"/>
    <n v="100"/>
    <m/>
    <x v="1"/>
    <n v="0"/>
    <m/>
    <n v="0"/>
    <m/>
    <m/>
    <n v="50.275000000000006"/>
    <n v="7.5412500000000007"/>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146.59500000000003"/>
    <n v="20.235687500000001"/>
    <n v="166.83068750000004"/>
    <n v="166.83068750000004"/>
    <n v="166.83068750000004"/>
    <n v="0"/>
    <n v="0"/>
    <n v="0"/>
    <n v="0"/>
    <n v="0"/>
    <n v="0"/>
    <n v="0"/>
    <n v="0"/>
    <n v="0"/>
    <n v="0"/>
    <n v="0"/>
    <n v="0"/>
    <n v="0"/>
    <n v="0"/>
    <n v="0"/>
  </r>
  <r>
    <s v="PCR-AVATAR"/>
    <m/>
    <m/>
    <m/>
    <m/>
    <m/>
    <m/>
    <m/>
    <m/>
    <m/>
    <m/>
    <m/>
    <e v="#NAME?"/>
    <x v="1"/>
    <m/>
    <m/>
    <x v="4"/>
    <s v="UAT"/>
    <m/>
    <m/>
    <m/>
    <s v="Oracle RAC - ESB"/>
    <s v="Oracle RAC pSeries"/>
    <s v="DB"/>
    <s v="ESB"/>
    <s v="DB-ESB"/>
    <m/>
    <s v="Yes - Outside this BoM"/>
    <m/>
    <m/>
    <m/>
    <s v="a"/>
    <m/>
    <m/>
    <s v="rdcgcgracad15u"/>
    <n v="1"/>
    <m/>
    <m/>
    <s v="IBM p7 p795"/>
    <s v="IBM P-Series Tier 2"/>
    <s v="pSeries"/>
    <m/>
    <s v="AIX 6.1"/>
    <m/>
    <m/>
    <m/>
    <m/>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4"/>
    <s v="UAT"/>
    <m/>
    <m/>
    <m/>
    <s v="Dataguard- Oracle RAC-ESB"/>
    <s v="Oracle RAC pSeries"/>
    <s v="DB"/>
    <s v="ESB"/>
    <s v="DB-ESB"/>
    <m/>
    <s v="Yes - Outside this BoM"/>
    <m/>
    <m/>
    <m/>
    <s v="a"/>
    <m/>
    <m/>
    <s v="rdcgcgdtgad14u"/>
    <n v="1"/>
    <m/>
    <m/>
    <s v="IBM p7 p795"/>
    <s v="IBM P-Series Tier 2"/>
    <s v="pSeries"/>
    <m/>
    <s v="AIX 6.1"/>
    <m/>
    <m/>
    <m/>
    <m/>
    <m/>
    <m/>
    <m/>
    <m/>
    <m/>
    <m/>
    <m/>
    <m/>
    <m/>
    <m/>
    <m/>
    <m/>
    <m/>
    <m/>
    <m/>
    <n v="0"/>
    <n v="300"/>
    <x v="6"/>
    <m/>
    <x v="6"/>
    <m/>
    <m/>
    <x v="1"/>
    <n v="0"/>
    <m/>
    <n v="0"/>
    <m/>
    <m/>
    <n v="75.825000000000003"/>
    <n v="11.373749999999999"/>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172.46639999999999"/>
    <n v="30.198399999999999"/>
    <n v="0"/>
    <n v="136.48500000000001"/>
    <n v="30.519562499999999"/>
    <n v="167.00456250000002"/>
    <n v="339.47096250000004"/>
    <n v="197.20296250000001"/>
    <n v="0"/>
    <n v="0"/>
    <n v="0"/>
    <n v="0"/>
    <n v="0"/>
    <n v="0"/>
    <n v="0"/>
    <n v="0"/>
    <n v="0"/>
    <n v="0"/>
    <n v="0"/>
    <n v="0"/>
    <n v="0"/>
    <n v="0"/>
    <n v="0"/>
  </r>
  <r>
    <s v="PCR-AVATAR"/>
    <m/>
    <m/>
    <m/>
    <m/>
    <m/>
    <m/>
    <m/>
    <m/>
    <m/>
    <m/>
    <m/>
    <e v="#NAME?"/>
    <x v="1"/>
    <m/>
    <m/>
    <x v="4"/>
    <s v="UAT"/>
    <m/>
    <m/>
    <m/>
    <s v="Oracle HACMP  - Tibco, RMAN"/>
    <s v="Oracle Standalone"/>
    <s v="DB"/>
    <s v="ESB"/>
    <s v="DB-ESB"/>
    <m/>
    <s v="Yes - Outside this BoM"/>
    <m/>
    <m/>
    <m/>
    <s v="a"/>
    <m/>
    <m/>
    <s v="rdcgcgticad01u"/>
    <n v="1"/>
    <m/>
    <m/>
    <s v="IBM p7 p795"/>
    <s v="IBM P-Series Tier 2"/>
    <s v="pSeries"/>
    <m/>
    <s v="AIX 6.1"/>
    <m/>
    <m/>
    <m/>
    <m/>
    <m/>
    <m/>
    <m/>
    <m/>
    <m/>
    <m/>
    <m/>
    <m/>
    <m/>
    <m/>
    <m/>
    <m/>
    <m/>
    <m/>
    <m/>
    <n v="0"/>
    <n v="300"/>
    <x v="6"/>
    <m/>
    <x v="6"/>
    <n v="100"/>
    <m/>
    <x v="1"/>
    <n v="0"/>
    <m/>
    <n v="0"/>
    <m/>
    <m/>
    <n v="100.825"/>
    <n v="15.123749999999999"/>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237.58500000000004"/>
    <n v="40.582062499999999"/>
    <n v="278.16706250000004"/>
    <n v="278.16706250000004"/>
    <n v="278.16706250000004"/>
    <n v="0"/>
    <n v="0"/>
    <n v="0"/>
    <n v="0"/>
    <n v="0"/>
    <n v="0"/>
    <n v="0"/>
    <n v="0"/>
    <n v="0"/>
    <n v="0"/>
    <n v="0"/>
    <n v="0"/>
    <n v="0"/>
    <n v="0"/>
    <n v="0"/>
  </r>
  <r>
    <s v="PCR-AVATAR"/>
    <m/>
    <m/>
    <m/>
    <m/>
    <m/>
    <m/>
    <m/>
    <m/>
    <m/>
    <m/>
    <m/>
    <e v="#NAME?"/>
    <x v="1"/>
    <m/>
    <m/>
    <x v="4"/>
    <s v="UAT"/>
    <m/>
    <m/>
    <m/>
    <s v="Oracle HACMP - Tibco, RMAN"/>
    <s v="Oracle Standalone"/>
    <s v="DB"/>
    <s v="ESB"/>
    <s v="DB-ESB"/>
    <m/>
    <s v="Yes - Outside this BoM"/>
    <m/>
    <m/>
    <m/>
    <s v="a"/>
    <m/>
    <m/>
    <s v="rdcgcgticad02u"/>
    <n v="1"/>
    <m/>
    <m/>
    <s v="IBM p7 p795"/>
    <s v="IBM P-Series Tier 2"/>
    <s v="pSeries"/>
    <m/>
    <s v="AIX 6.1"/>
    <m/>
    <m/>
    <m/>
    <m/>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0"/>
    <n v="0"/>
    <n v="0"/>
    <n v="0"/>
    <n v="0"/>
    <n v="0"/>
    <n v="0"/>
    <n v="0"/>
    <n v="0"/>
    <n v="0"/>
    <n v="0"/>
    <n v="0"/>
    <n v="0"/>
    <n v="0"/>
    <n v="0"/>
    <n v="0"/>
    <n v="0"/>
    <n v="0"/>
    <n v="0"/>
    <n v="0"/>
  </r>
  <r>
    <s v="PCR-AVATAR"/>
    <m/>
    <m/>
    <m/>
    <m/>
    <m/>
    <m/>
    <m/>
    <m/>
    <m/>
    <m/>
    <m/>
    <e v="#NAME?"/>
    <x v="2"/>
    <m/>
    <m/>
    <x v="5"/>
    <s v="SIT"/>
    <m/>
    <m/>
    <m/>
    <s v="ESB-DB"/>
    <s v="Oracle Standalone"/>
    <s v="AP"/>
    <s v="ESB"/>
    <s v="AP-ESB"/>
    <m/>
    <s v="Yes - Outside this BoM"/>
    <m/>
    <m/>
    <m/>
    <s v="a"/>
    <m/>
    <m/>
    <s v="saixr293"/>
    <n v="1"/>
    <m/>
    <m/>
    <s v="IBM p7 p795"/>
    <s v="IBM P-Series Tier 2"/>
    <s v="pSeries"/>
    <m/>
    <s v="AIX 6.1"/>
    <m/>
    <m/>
    <m/>
    <m/>
    <m/>
    <m/>
    <m/>
    <m/>
    <m/>
    <m/>
    <m/>
    <m/>
    <m/>
    <m/>
    <m/>
    <m/>
    <m/>
    <m/>
    <m/>
    <n v="0"/>
    <n v="500"/>
    <x v="9"/>
    <m/>
    <x v="9"/>
    <m/>
    <m/>
    <x v="1"/>
    <n v="0"/>
    <m/>
    <n v="0"/>
    <m/>
    <m/>
    <n v="126.37500000000001"/>
    <n v="18.956250000000001"/>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227.47500000000002"/>
    <n v="50.865937500000001"/>
    <n v="278.3409375"/>
    <n v="278.3409375"/>
    <n v="278.3409375"/>
    <n v="0"/>
    <n v="0"/>
    <n v="0"/>
    <n v="0"/>
    <n v="0"/>
    <n v="0"/>
    <n v="0"/>
    <n v="0"/>
    <n v="0"/>
    <n v="0"/>
    <n v="0"/>
    <n v="0"/>
    <n v="0"/>
    <n v="0"/>
    <n v="0"/>
  </r>
  <r>
    <s v="PCR-AVATAR"/>
    <m/>
    <m/>
    <m/>
    <m/>
    <m/>
    <m/>
    <m/>
    <m/>
    <m/>
    <m/>
    <m/>
    <e v="#NAME?"/>
    <x v="2"/>
    <m/>
    <m/>
    <x v="5"/>
    <s v="SIT"/>
    <m/>
    <m/>
    <m/>
    <s v="ESB-EMS "/>
    <s v="TIBCO EMS, CA APM"/>
    <s v="AP"/>
    <s v="ESB"/>
    <s v="AP-ESB"/>
    <m/>
    <s v="Yes - Outside this BoM"/>
    <m/>
    <m/>
    <m/>
    <s v="a"/>
    <m/>
    <m/>
    <s v="hlixtr289"/>
    <n v="1"/>
    <m/>
    <m/>
    <s v="BL620C G7"/>
    <s v="x86 Tier 3"/>
    <s v="x86"/>
    <m/>
    <s v="RHEL 5.9"/>
    <m/>
    <m/>
    <m/>
    <s v=""/>
    <m/>
    <m/>
    <m/>
    <m/>
    <m/>
    <m/>
    <m/>
    <m/>
    <m/>
    <m/>
    <m/>
    <m/>
    <m/>
    <m/>
    <m/>
    <n v="0"/>
    <n v="250"/>
    <x v="10"/>
    <m/>
    <x v="10"/>
    <m/>
    <m/>
    <x v="1"/>
    <n v="0"/>
    <m/>
    <n v="0"/>
    <m/>
    <m/>
    <n v="67.400000000000006"/>
    <n v="10.110000000000001"/>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3000"/>
    <n v="420"/>
    <n v="0"/>
    <n v="121.32000000000001"/>
    <n v="27.128499999999999"/>
    <n v="148.4485"/>
    <n v="3148.4485"/>
    <n v="568.44849999999997"/>
    <n v="0"/>
    <n v="0"/>
    <n v="0"/>
    <n v="0"/>
    <n v="0"/>
    <n v="0"/>
    <n v="0"/>
    <n v="0"/>
    <n v="0"/>
    <n v="0"/>
    <n v="0"/>
    <n v="0"/>
    <n v="0"/>
    <n v="0"/>
    <n v="0"/>
  </r>
  <r>
    <s v="PCR-AVATAR"/>
    <m/>
    <m/>
    <m/>
    <m/>
    <m/>
    <m/>
    <m/>
    <m/>
    <m/>
    <m/>
    <m/>
    <e v="#NAME?"/>
    <x v="2"/>
    <m/>
    <m/>
    <x v="5"/>
    <s v="SIT"/>
    <m/>
    <m/>
    <m/>
    <s v="ESB-BW "/>
    <s v="TIBCO BW, CA APM"/>
    <s v="AP"/>
    <s v="ESB"/>
    <s v="AP-ESB"/>
    <m/>
    <s v="Yes - Outside this BoM"/>
    <m/>
    <m/>
    <m/>
    <s v="a"/>
    <m/>
    <m/>
    <s v="hlixtr492"/>
    <n v="1"/>
    <m/>
    <m/>
    <s v="BL620C G7"/>
    <s v="x86 Tier 3"/>
    <s v="x86"/>
    <m/>
    <s v="RHEL 5.9"/>
    <m/>
    <m/>
    <m/>
    <s v=""/>
    <m/>
    <m/>
    <m/>
    <m/>
    <m/>
    <m/>
    <m/>
    <m/>
    <m/>
    <m/>
    <m/>
    <m/>
    <m/>
    <m/>
    <m/>
    <n v="0"/>
    <n v="250"/>
    <x v="10"/>
    <m/>
    <x v="10"/>
    <m/>
    <m/>
    <x v="1"/>
    <n v="0"/>
    <m/>
    <n v="0"/>
    <m/>
    <m/>
    <n v="67.400000000000006"/>
    <n v="10.110000000000001"/>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3750"/>
    <n v="525"/>
    <n v="0"/>
    <n v="121.32000000000001"/>
    <n v="27.128499999999999"/>
    <n v="148.4485"/>
    <n v="3898.4485"/>
    <n v="673.44849999999997"/>
    <n v="0"/>
    <n v="0"/>
    <n v="0"/>
    <n v="0"/>
    <n v="0"/>
    <n v="0"/>
    <n v="0"/>
    <n v="0"/>
    <n v="0"/>
    <n v="0"/>
    <n v="0"/>
    <n v="0"/>
    <n v="0"/>
    <n v="0"/>
    <n v="0"/>
  </r>
  <r>
    <s v="PCR-AVATAR"/>
    <m/>
    <m/>
    <m/>
    <m/>
    <m/>
    <m/>
    <m/>
    <m/>
    <m/>
    <m/>
    <m/>
    <e v="#NAME?"/>
    <x v="0"/>
    <m/>
    <m/>
    <x v="1"/>
    <s v="PROD"/>
    <m/>
    <m/>
    <m/>
    <s v="Web Server"/>
    <s v="IBM HTTP x86"/>
    <s v="WW"/>
    <s v="CBOL"/>
    <s v="WW-CBOL"/>
    <m/>
    <s v="No"/>
    <m/>
    <m/>
    <m/>
    <m/>
    <m/>
    <m/>
    <s v="BLADE 1"/>
    <n v="1"/>
    <m/>
    <m/>
    <s v="BL620C G7"/>
    <s v="x86 Tier 3"/>
    <s v="x86"/>
    <m/>
    <s v="RHEL 5.9"/>
    <n v="2"/>
    <m/>
    <n v="16"/>
    <s v=""/>
    <n v="128"/>
    <m/>
    <m/>
    <m/>
    <m/>
    <m/>
    <m/>
    <m/>
    <m/>
    <m/>
    <m/>
    <m/>
    <m/>
    <m/>
    <m/>
    <n v="202.20000000000002"/>
    <n v="700"/>
    <x v="11"/>
    <m/>
    <x v="11"/>
    <m/>
    <m/>
    <x v="1"/>
    <n v="0"/>
    <m/>
    <n v="0"/>
    <m/>
    <m/>
    <n v="227.47500000000002"/>
    <n v="34.121250000000003"/>
    <m/>
    <m/>
    <m/>
    <m/>
    <m/>
    <m/>
    <m/>
    <m/>
    <m/>
    <m/>
    <m/>
    <m/>
    <n v="0"/>
    <n v="0"/>
    <n v="0"/>
    <n v="0"/>
    <n v="0"/>
    <n v="0"/>
    <n v="0"/>
    <n v="0"/>
    <n v="0"/>
    <n v="16"/>
    <n v="0"/>
    <n v="0"/>
    <n v="0"/>
    <n v="0"/>
    <n v="0"/>
    <n v="0"/>
    <n v="0"/>
    <n v="0"/>
    <n v="0"/>
    <n v="0"/>
    <n v="0"/>
    <n v="0"/>
    <n v="0"/>
    <n v="0"/>
    <n v="0"/>
    <n v="0"/>
    <n v="0"/>
    <n v="0"/>
    <n v="0"/>
    <n v="0"/>
    <n v="0"/>
    <n v="0"/>
    <n v="0"/>
    <n v="0"/>
    <n v="0"/>
    <n v="0"/>
    <n v="0"/>
    <n v="0"/>
    <n v="0"/>
    <n v="0"/>
    <n v="0"/>
    <n v="0"/>
    <n v="0"/>
    <n v="0"/>
    <n v="0"/>
    <n v="0"/>
    <n v="0"/>
    <n v="0"/>
    <n v="0"/>
    <n v="0"/>
    <n v="0"/>
    <n v="0"/>
    <m/>
    <n v="0"/>
    <n v="0"/>
    <n v="888.7"/>
    <n v="409.45500000000004"/>
    <n v="91.558687500000019"/>
    <n v="1389.7136875000001"/>
    <n v="1389.7136875000001"/>
    <n v="1389.7136875000001"/>
    <n v="888.7"/>
    <n v="2"/>
    <n v="16"/>
    <n v="128"/>
    <n v="0"/>
    <n v="0"/>
    <n v="0"/>
    <n v="0"/>
    <n v="608"/>
    <n v="0"/>
    <n v="0"/>
    <n v="93.600000000000009"/>
    <n v="0"/>
    <n v="187.1"/>
    <n v="0"/>
  </r>
  <r>
    <s v="PCR-AVATAR"/>
    <m/>
    <m/>
    <m/>
    <m/>
    <m/>
    <m/>
    <m/>
    <m/>
    <m/>
    <m/>
    <m/>
    <e v="#NAME?"/>
    <x v="1"/>
    <m/>
    <m/>
    <x v="6"/>
    <s v="PROD"/>
    <m/>
    <m/>
    <m/>
    <s v="Web Server"/>
    <s v="IBM HTTP x86"/>
    <s v="WW"/>
    <s v="CBOL"/>
    <s v="WW-CBOL"/>
    <m/>
    <s v="No"/>
    <m/>
    <m/>
    <m/>
    <m/>
    <m/>
    <m/>
    <s v="BLADE 2"/>
    <n v="1"/>
    <m/>
    <m/>
    <s v="BL620C G7"/>
    <s v="x86 Tier 3"/>
    <s v="x86"/>
    <m/>
    <s v="RHEL 5.9"/>
    <n v="2"/>
    <m/>
    <n v="16"/>
    <s v=""/>
    <n v="128"/>
    <m/>
    <m/>
    <m/>
    <m/>
    <m/>
    <m/>
    <m/>
    <m/>
    <m/>
    <m/>
    <m/>
    <m/>
    <m/>
    <m/>
    <n v="202.20000000000002"/>
    <n v="700"/>
    <x v="11"/>
    <m/>
    <x v="11"/>
    <m/>
    <m/>
    <x v="1"/>
    <n v="0"/>
    <m/>
    <n v="0"/>
    <m/>
    <m/>
    <n v="227.47500000000002"/>
    <n v="34.121250000000003"/>
    <m/>
    <m/>
    <m/>
    <m/>
    <m/>
    <m/>
    <m/>
    <m/>
    <m/>
    <m/>
    <m/>
    <m/>
    <n v="0"/>
    <n v="0"/>
    <n v="0"/>
    <n v="0"/>
    <n v="0"/>
    <n v="0"/>
    <n v="0"/>
    <n v="0"/>
    <n v="0"/>
    <n v="16"/>
    <n v="0"/>
    <n v="0"/>
    <n v="0"/>
    <n v="0"/>
    <n v="0"/>
    <n v="0"/>
    <n v="0"/>
    <n v="0"/>
    <n v="0"/>
    <n v="0"/>
    <n v="0"/>
    <n v="0"/>
    <n v="0"/>
    <n v="0"/>
    <n v="0"/>
    <n v="0"/>
    <n v="0"/>
    <n v="0"/>
    <n v="0"/>
    <n v="0"/>
    <n v="0"/>
    <n v="0"/>
    <n v="0"/>
    <n v="0"/>
    <n v="0"/>
    <n v="0"/>
    <n v="0"/>
    <n v="0"/>
    <n v="0"/>
    <n v="0"/>
    <n v="0"/>
    <n v="0"/>
    <n v="0"/>
    <n v="0"/>
    <n v="0"/>
    <n v="0"/>
    <n v="0"/>
    <n v="0"/>
    <n v="0"/>
    <n v="0"/>
    <n v="0"/>
    <n v="0"/>
    <m/>
    <n v="0"/>
    <n v="0"/>
    <n v="888.7"/>
    <n v="409.45500000000004"/>
    <n v="91.558687500000019"/>
    <n v="1389.7136875000001"/>
    <n v="1389.7136875000001"/>
    <n v="1389.7136875000001"/>
    <n v="888.7"/>
    <n v="2"/>
    <n v="16"/>
    <n v="128"/>
    <n v="0"/>
    <n v="0"/>
    <n v="0"/>
    <n v="0"/>
    <n v="608"/>
    <n v="0"/>
    <n v="0"/>
    <n v="93.600000000000009"/>
    <n v="0"/>
    <n v="187.1"/>
    <n v="0"/>
  </r>
  <r>
    <s v="PCR-AVATAR"/>
    <m/>
    <m/>
    <m/>
    <m/>
    <m/>
    <m/>
    <m/>
    <m/>
    <m/>
    <m/>
    <m/>
    <e v="#NAME?"/>
    <x v="0"/>
    <m/>
    <m/>
    <x v="1"/>
    <s v="PROD"/>
    <m/>
    <m/>
    <m/>
    <s v="PL App Server"/>
    <s v="IBM WAS x86, CA APM, IBM HTTP x86"/>
    <s v="AP"/>
    <s v="CBOL"/>
    <s v="AP-CBOL"/>
    <m/>
    <s v="No"/>
    <m/>
    <m/>
    <m/>
    <m/>
    <m/>
    <m/>
    <s v="BLADE 3"/>
    <n v="1"/>
    <m/>
    <m/>
    <s v="BL620C G7"/>
    <s v="x86 Tier 3"/>
    <s v="x86"/>
    <m/>
    <s v="RHEL 5.9"/>
    <n v="2"/>
    <m/>
    <n v="16"/>
    <s v=""/>
    <n v="128"/>
    <m/>
    <m/>
    <m/>
    <m/>
    <m/>
    <m/>
    <m/>
    <m/>
    <m/>
    <m/>
    <m/>
    <m/>
    <m/>
    <m/>
    <n v="202.20000000000002"/>
    <n v="600"/>
    <x v="12"/>
    <m/>
    <x v="12"/>
    <m/>
    <m/>
    <x v="1"/>
    <n v="0"/>
    <m/>
    <n v="0"/>
    <m/>
    <m/>
    <n v="202.20000000000002"/>
    <n v="30.330000000000002"/>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n v="0"/>
    <n v="0"/>
    <n v="888.7"/>
    <n v="363.96000000000004"/>
    <n v="81.385500000000008"/>
    <n v="1334.0455000000002"/>
    <n v="1334.0455000000002"/>
    <n v="1334.0455000000002"/>
    <n v="888.7"/>
    <n v="2"/>
    <n v="16"/>
    <n v="128"/>
    <n v="0"/>
    <n v="0"/>
    <n v="0"/>
    <n v="0"/>
    <n v="608"/>
    <n v="0"/>
    <n v="0"/>
    <n v="93.600000000000009"/>
    <n v="0"/>
    <n v="187.1"/>
    <n v="0"/>
  </r>
  <r>
    <s v="PCR-AVATAR"/>
    <m/>
    <m/>
    <m/>
    <m/>
    <m/>
    <m/>
    <m/>
    <m/>
    <m/>
    <m/>
    <m/>
    <e v="#NAME?"/>
    <x v="1"/>
    <m/>
    <m/>
    <x v="6"/>
    <s v="PROD"/>
    <m/>
    <m/>
    <m/>
    <s v="PL App Server"/>
    <s v="IBM WAS x86, CA APM, IBM HTTP x86"/>
    <s v="AP"/>
    <s v="CBOL"/>
    <s v="AP-CBOL"/>
    <m/>
    <s v="No"/>
    <m/>
    <m/>
    <m/>
    <m/>
    <m/>
    <m/>
    <s v="BLADE 4"/>
    <n v="1"/>
    <m/>
    <m/>
    <s v="BL620C G7"/>
    <s v="x86 Tier 3"/>
    <s v="x86"/>
    <m/>
    <s v="RHEL 5.9"/>
    <n v="2"/>
    <m/>
    <n v="16"/>
    <s v=""/>
    <n v="128"/>
    <m/>
    <m/>
    <m/>
    <m/>
    <m/>
    <m/>
    <m/>
    <m/>
    <m/>
    <m/>
    <m/>
    <m/>
    <m/>
    <m/>
    <n v="202.20000000000002"/>
    <n v="600"/>
    <x v="12"/>
    <m/>
    <x v="12"/>
    <m/>
    <m/>
    <x v="1"/>
    <n v="0"/>
    <m/>
    <n v="0"/>
    <m/>
    <m/>
    <n v="202.20000000000002"/>
    <n v="30.330000000000002"/>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n v="0"/>
    <n v="0"/>
    <n v="888.7"/>
    <n v="363.96000000000004"/>
    <n v="81.385500000000008"/>
    <n v="1334.0455000000002"/>
    <n v="1334.0455000000002"/>
    <n v="1334.0455000000002"/>
    <n v="888.7"/>
    <n v="2"/>
    <n v="16"/>
    <n v="128"/>
    <n v="0"/>
    <n v="0"/>
    <n v="0"/>
    <n v="0"/>
    <n v="608"/>
    <n v="0"/>
    <n v="0"/>
    <n v="93.600000000000009"/>
    <n v="0"/>
    <n v="187.1"/>
    <n v="0"/>
  </r>
  <r>
    <s v="PCR-AVATAR"/>
    <m/>
    <m/>
    <m/>
    <m/>
    <m/>
    <m/>
    <m/>
    <m/>
    <m/>
    <m/>
    <m/>
    <e v="#NAME?"/>
    <x v="0"/>
    <m/>
    <m/>
    <x v="1"/>
    <s v="PROD"/>
    <m/>
    <m/>
    <m/>
    <s v="PL App Server"/>
    <s v="IBM WAS x86, CA APM, IBM HTTP x86"/>
    <s v="AP"/>
    <s v="CBOL"/>
    <s v="AP-CBOL"/>
    <m/>
    <s v="No"/>
    <m/>
    <m/>
    <m/>
    <m/>
    <m/>
    <m/>
    <s v="BLADE 5"/>
    <n v="1"/>
    <m/>
    <m/>
    <s v="BL620C G7"/>
    <s v="x86 Tier 3"/>
    <s v="x86"/>
    <m/>
    <s v="RHEL 5.9"/>
    <n v="2"/>
    <m/>
    <n v="16"/>
    <s v=""/>
    <n v="128"/>
    <m/>
    <m/>
    <m/>
    <m/>
    <m/>
    <m/>
    <m/>
    <m/>
    <m/>
    <m/>
    <m/>
    <m/>
    <m/>
    <m/>
    <n v="202.20000000000002"/>
    <n v="600"/>
    <x v="12"/>
    <m/>
    <x v="12"/>
    <m/>
    <m/>
    <x v="1"/>
    <n v="0"/>
    <m/>
    <n v="0"/>
    <m/>
    <m/>
    <n v="202.20000000000002"/>
    <n v="30.330000000000002"/>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n v="0"/>
    <n v="0"/>
    <n v="888.7"/>
    <n v="363.96000000000004"/>
    <n v="81.385500000000008"/>
    <n v="1334.0455000000002"/>
    <n v="1334.0455000000002"/>
    <n v="1334.0455000000002"/>
    <n v="888.7"/>
    <n v="2"/>
    <n v="16"/>
    <n v="128"/>
    <n v="0"/>
    <n v="0"/>
    <n v="0"/>
    <n v="0"/>
    <n v="608"/>
    <n v="0"/>
    <n v="0"/>
    <n v="93.600000000000009"/>
    <n v="0"/>
    <n v="187.1"/>
    <n v="0"/>
  </r>
  <r>
    <s v="PCR-AVATAR"/>
    <m/>
    <m/>
    <m/>
    <m/>
    <m/>
    <m/>
    <m/>
    <m/>
    <m/>
    <m/>
    <m/>
    <e v="#NAME?"/>
    <x v="1"/>
    <m/>
    <m/>
    <x v="6"/>
    <s v="PROD"/>
    <m/>
    <m/>
    <m/>
    <s v="PL App Server"/>
    <s v="IBM WAS x86, CA APM, IBM HTTP x86"/>
    <s v="AP"/>
    <s v="CBOL"/>
    <s v="AP-CBOL"/>
    <m/>
    <s v="No"/>
    <m/>
    <m/>
    <m/>
    <m/>
    <m/>
    <m/>
    <s v="BLADE 6"/>
    <n v="1"/>
    <m/>
    <m/>
    <s v="BL620C G7"/>
    <s v="x86 Tier 3"/>
    <s v="x86"/>
    <m/>
    <s v="RHEL 5.9"/>
    <n v="2"/>
    <m/>
    <n v="16"/>
    <s v=""/>
    <n v="128"/>
    <m/>
    <m/>
    <m/>
    <m/>
    <m/>
    <m/>
    <m/>
    <m/>
    <m/>
    <m/>
    <m/>
    <m/>
    <m/>
    <m/>
    <n v="202.20000000000002"/>
    <n v="600"/>
    <x v="12"/>
    <m/>
    <x v="12"/>
    <m/>
    <m/>
    <x v="1"/>
    <n v="0"/>
    <m/>
    <n v="0"/>
    <m/>
    <m/>
    <n v="202.20000000000002"/>
    <n v="30.330000000000002"/>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888.7"/>
    <n v="363.96000000000004"/>
    <n v="81.385500000000008"/>
    <n v="1334.0455000000002"/>
    <n v="1334.0455000000002"/>
    <n v="1334.0455000000002"/>
    <n v="888.7"/>
    <n v="2"/>
    <n v="16"/>
    <n v="128"/>
    <n v="0"/>
    <n v="0"/>
    <n v="0"/>
    <n v="0"/>
    <n v="608"/>
    <n v="0"/>
    <n v="0"/>
    <n v="93.600000000000009"/>
    <n v="0"/>
    <n v="187.1"/>
    <n v="0"/>
  </r>
  <r>
    <s v="PCR-AVATAR"/>
    <m/>
    <m/>
    <m/>
    <m/>
    <m/>
    <m/>
    <m/>
    <m/>
    <m/>
    <m/>
    <m/>
    <e v="#NAME?"/>
    <x v="0"/>
    <m/>
    <m/>
    <x v="1"/>
    <s v="PROD"/>
    <m/>
    <m/>
    <m/>
    <s v="CM App Server"/>
    <s v="IBM WAS x86, CA APM, IBM HTTP x86"/>
    <s v="AP"/>
    <s v="CBOL"/>
    <s v="AP-CBOL"/>
    <m/>
    <s v="No"/>
    <m/>
    <m/>
    <m/>
    <m/>
    <m/>
    <m/>
    <s v="BLADE 7"/>
    <n v="1"/>
    <m/>
    <m/>
    <s v="BL620C G7"/>
    <s v="x86 Tier 3"/>
    <s v="x86"/>
    <m/>
    <s v="RHEL 5.9"/>
    <n v="2"/>
    <m/>
    <n v="16"/>
    <s v=""/>
    <n v="256"/>
    <m/>
    <m/>
    <m/>
    <m/>
    <m/>
    <m/>
    <m/>
    <m/>
    <m/>
    <m/>
    <m/>
    <m/>
    <m/>
    <m/>
    <n v="337"/>
    <n v="800"/>
    <x v="13"/>
    <m/>
    <x v="13"/>
    <m/>
    <m/>
    <x v="1"/>
    <n v="0"/>
    <m/>
    <n v="0"/>
    <m/>
    <m/>
    <n v="286.45000000000005"/>
    <n v="42.967500000000008"/>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1003.9"/>
    <n v="515.61000000000013"/>
    <n v="115.29612500000002"/>
    <n v="1634.8061250000003"/>
    <n v="1634.8061250000003"/>
    <n v="1634.8061250000003"/>
    <n v="1003.9"/>
    <n v="2"/>
    <n v="16"/>
    <n v="256"/>
    <n v="0"/>
    <n v="0"/>
    <n v="0"/>
    <n v="0"/>
    <n v="608"/>
    <n v="0"/>
    <n v="0"/>
    <n v="208.8"/>
    <n v="0"/>
    <n v="187.1"/>
    <n v="0"/>
  </r>
  <r>
    <s v="PCR-AVATAR"/>
    <m/>
    <m/>
    <m/>
    <m/>
    <m/>
    <m/>
    <m/>
    <m/>
    <m/>
    <m/>
    <m/>
    <e v="#NAME?"/>
    <x v="0"/>
    <m/>
    <m/>
    <x v="1"/>
    <s v="PROD"/>
    <m/>
    <m/>
    <m/>
    <s v="CM App Server"/>
    <s v="IBM WAS x86, CA APM, IBM HTTP x86"/>
    <s v="AP"/>
    <s v="CBOL"/>
    <s v="AP-CBOL"/>
    <m/>
    <s v="No"/>
    <m/>
    <m/>
    <m/>
    <m/>
    <m/>
    <m/>
    <s v="BLADE 8"/>
    <n v="1"/>
    <m/>
    <m/>
    <s v="BL620C G7"/>
    <s v="x86 Tier 3"/>
    <s v="x86"/>
    <m/>
    <s v="RHEL 5.9"/>
    <n v="2"/>
    <m/>
    <n v="16"/>
    <s v=""/>
    <n v="256"/>
    <m/>
    <m/>
    <m/>
    <m/>
    <m/>
    <m/>
    <m/>
    <m/>
    <m/>
    <m/>
    <m/>
    <m/>
    <m/>
    <m/>
    <n v="337"/>
    <n v="800"/>
    <x v="13"/>
    <m/>
    <x v="13"/>
    <m/>
    <m/>
    <x v="1"/>
    <n v="0"/>
    <m/>
    <n v="0"/>
    <m/>
    <m/>
    <n v="286.45000000000005"/>
    <n v="42.967500000000008"/>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1003.9"/>
    <n v="515.61000000000013"/>
    <n v="115.29612500000002"/>
    <n v="1634.8061250000003"/>
    <n v="1634.8061250000003"/>
    <n v="1634.8061250000003"/>
    <n v="1003.9"/>
    <n v="2"/>
    <n v="16"/>
    <n v="256"/>
    <n v="0"/>
    <n v="0"/>
    <n v="0"/>
    <n v="0"/>
    <n v="608"/>
    <n v="0"/>
    <n v="0"/>
    <n v="208.8"/>
    <n v="0"/>
    <n v="187.1"/>
    <n v="0"/>
  </r>
  <r>
    <s v="PCR-AVATAR"/>
    <m/>
    <m/>
    <m/>
    <m/>
    <m/>
    <m/>
    <m/>
    <m/>
    <m/>
    <m/>
    <m/>
    <e v="#NAME?"/>
    <x v="0"/>
    <m/>
    <m/>
    <x v="1"/>
    <s v="PROD"/>
    <m/>
    <m/>
    <m/>
    <s v="CM App Server"/>
    <s v="IBM WAS x86, CA APM, IBM HTTP x86"/>
    <s v="AP"/>
    <s v="CBOL"/>
    <s v="AP-CBOL"/>
    <m/>
    <s v="No"/>
    <m/>
    <m/>
    <m/>
    <m/>
    <m/>
    <m/>
    <s v="BLADE 9"/>
    <n v="1"/>
    <m/>
    <m/>
    <s v="BL620C G7"/>
    <s v="x86 Tier 3"/>
    <s v="x86"/>
    <m/>
    <s v="RHEL 5.9"/>
    <n v="2"/>
    <m/>
    <n v="16"/>
    <s v=""/>
    <n v="256"/>
    <m/>
    <m/>
    <m/>
    <m/>
    <m/>
    <m/>
    <m/>
    <m/>
    <m/>
    <m/>
    <m/>
    <m/>
    <m/>
    <m/>
    <n v="337"/>
    <n v="800"/>
    <x v="13"/>
    <m/>
    <x v="13"/>
    <m/>
    <m/>
    <x v="1"/>
    <n v="0"/>
    <m/>
    <n v="0"/>
    <m/>
    <m/>
    <n v="286.45000000000005"/>
    <n v="42.967500000000008"/>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1003.9"/>
    <n v="515.61000000000013"/>
    <n v="115.29612500000002"/>
    <n v="1634.8061250000003"/>
    <n v="1634.8061250000003"/>
    <n v="1634.8061250000003"/>
    <n v="1003.9"/>
    <n v="2"/>
    <n v="16"/>
    <n v="256"/>
    <n v="0"/>
    <n v="0"/>
    <n v="0"/>
    <n v="0"/>
    <n v="608"/>
    <n v="0"/>
    <n v="0"/>
    <n v="208.8"/>
    <n v="0"/>
    <n v="187.1"/>
    <n v="0"/>
  </r>
  <r>
    <s v="PCR-AVATAR"/>
    <m/>
    <m/>
    <m/>
    <m/>
    <m/>
    <m/>
    <m/>
    <m/>
    <m/>
    <m/>
    <m/>
    <e v="#NAME?"/>
    <x v="1"/>
    <m/>
    <m/>
    <x v="6"/>
    <s v="PROD"/>
    <m/>
    <m/>
    <m/>
    <s v="CM App Server"/>
    <s v="IBM WAS x86, CA APM, IBM HTTP x86"/>
    <s v="AP"/>
    <s v="CBOL"/>
    <s v="AP-CBOL"/>
    <m/>
    <s v="No"/>
    <m/>
    <m/>
    <m/>
    <m/>
    <m/>
    <m/>
    <s v="BLADE 10"/>
    <n v="1"/>
    <m/>
    <m/>
    <s v="BL620C G7"/>
    <s v="x86 Tier 3"/>
    <s v="x86"/>
    <m/>
    <s v="RHEL 5.9"/>
    <n v="2"/>
    <m/>
    <n v="16"/>
    <s v=""/>
    <n v="256"/>
    <m/>
    <m/>
    <m/>
    <m/>
    <m/>
    <m/>
    <m/>
    <m/>
    <m/>
    <m/>
    <m/>
    <m/>
    <m/>
    <m/>
    <n v="337"/>
    <n v="800"/>
    <x v="13"/>
    <m/>
    <x v="13"/>
    <m/>
    <m/>
    <x v="1"/>
    <n v="0"/>
    <m/>
    <n v="0"/>
    <m/>
    <m/>
    <n v="286.45000000000005"/>
    <n v="42.967500000000008"/>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1003.9"/>
    <n v="515.61000000000013"/>
    <n v="115.29612500000002"/>
    <n v="1634.8061250000003"/>
    <n v="1634.8061250000003"/>
    <n v="1634.8061250000003"/>
    <n v="1003.9"/>
    <n v="2"/>
    <n v="16"/>
    <n v="256"/>
    <n v="0"/>
    <n v="0"/>
    <n v="0"/>
    <n v="0"/>
    <n v="608"/>
    <n v="0"/>
    <n v="0"/>
    <n v="208.8"/>
    <n v="0"/>
    <n v="187.1"/>
    <n v="0"/>
  </r>
  <r>
    <s v="PCR-AVATAR"/>
    <m/>
    <m/>
    <m/>
    <m/>
    <m/>
    <m/>
    <m/>
    <m/>
    <m/>
    <m/>
    <m/>
    <e v="#NAME?"/>
    <x v="1"/>
    <m/>
    <m/>
    <x v="6"/>
    <s v="PROD"/>
    <m/>
    <m/>
    <m/>
    <s v="CM App Server"/>
    <s v="IBM WAS x86, CA APM, IBM HTTP x86"/>
    <s v="AP"/>
    <s v="CBOL"/>
    <s v="AP-CBOL"/>
    <m/>
    <s v="No"/>
    <m/>
    <m/>
    <m/>
    <m/>
    <m/>
    <m/>
    <s v="BLADE 11"/>
    <n v="1"/>
    <m/>
    <m/>
    <s v="BL620C G7"/>
    <s v="x86 Tier 3"/>
    <s v="x86"/>
    <m/>
    <s v="RHEL 5.9"/>
    <n v="2"/>
    <m/>
    <n v="16"/>
    <s v=""/>
    <n v="256"/>
    <m/>
    <m/>
    <m/>
    <m/>
    <m/>
    <m/>
    <m/>
    <m/>
    <m/>
    <m/>
    <m/>
    <m/>
    <m/>
    <m/>
    <n v="337"/>
    <n v="800"/>
    <x v="13"/>
    <m/>
    <x v="13"/>
    <m/>
    <m/>
    <x v="1"/>
    <n v="0"/>
    <m/>
    <n v="0"/>
    <m/>
    <m/>
    <n v="286.45000000000005"/>
    <n v="42.967500000000008"/>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1003.9"/>
    <n v="515.61000000000013"/>
    <n v="115.29612500000002"/>
    <n v="1634.8061250000003"/>
    <n v="1634.8061250000003"/>
    <n v="1634.8061250000003"/>
    <n v="1003.9"/>
    <n v="2"/>
    <n v="16"/>
    <n v="256"/>
    <n v="0"/>
    <n v="0"/>
    <n v="0"/>
    <n v="0"/>
    <n v="608"/>
    <n v="0"/>
    <n v="0"/>
    <n v="208.8"/>
    <n v="0"/>
    <n v="187.1"/>
    <n v="0"/>
  </r>
  <r>
    <s v="PCR-AVATAR"/>
    <m/>
    <m/>
    <m/>
    <m/>
    <m/>
    <m/>
    <m/>
    <m/>
    <m/>
    <m/>
    <m/>
    <e v="#NAME?"/>
    <x v="1"/>
    <m/>
    <m/>
    <x v="6"/>
    <s v="PROD"/>
    <m/>
    <m/>
    <m/>
    <s v="CM App Server"/>
    <s v="IBM WAS x86, CA APM, IBM HTTP x86"/>
    <s v="AP"/>
    <s v="CBOL"/>
    <s v="AP-CBOL"/>
    <m/>
    <s v="No"/>
    <m/>
    <m/>
    <m/>
    <m/>
    <m/>
    <m/>
    <s v="BLADE 12"/>
    <n v="1"/>
    <m/>
    <m/>
    <s v="BL620C G7"/>
    <s v="x86 Tier 3"/>
    <s v="x86"/>
    <m/>
    <s v="RHEL 5.9"/>
    <n v="2"/>
    <m/>
    <n v="16"/>
    <s v=""/>
    <n v="256"/>
    <m/>
    <m/>
    <m/>
    <m/>
    <m/>
    <m/>
    <m/>
    <m/>
    <m/>
    <m/>
    <m/>
    <m/>
    <m/>
    <m/>
    <n v="337"/>
    <n v="800"/>
    <x v="13"/>
    <m/>
    <x v="13"/>
    <m/>
    <m/>
    <x v="1"/>
    <n v="0"/>
    <m/>
    <n v="0"/>
    <m/>
    <m/>
    <n v="286.45000000000005"/>
    <n v="42.967500000000008"/>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1003.9"/>
    <n v="515.61000000000013"/>
    <n v="115.29612500000002"/>
    <n v="1634.8061250000003"/>
    <n v="1634.8061250000003"/>
    <n v="1634.8061250000003"/>
    <n v="1003.9"/>
    <n v="2"/>
    <n v="16"/>
    <n v="256"/>
    <n v="0"/>
    <n v="0"/>
    <n v="0"/>
    <n v="0"/>
    <n v="608"/>
    <n v="0"/>
    <n v="0"/>
    <n v="208.8"/>
    <n v="0"/>
    <n v="187.1"/>
    <n v="0"/>
  </r>
  <r>
    <s v="PCR-AVATAR"/>
    <m/>
    <m/>
    <m/>
    <m/>
    <m/>
    <m/>
    <m/>
    <m/>
    <m/>
    <m/>
    <m/>
    <e v="#NAME?"/>
    <x v="0"/>
    <m/>
    <m/>
    <x v="1"/>
    <s v="PROD"/>
    <m/>
    <m/>
    <m/>
    <s v="DB Server Cluster1"/>
    <s v="Oracle RAC x86"/>
    <s v="DB"/>
    <s v="CBOL"/>
    <s v="DB-CBOL"/>
    <m/>
    <s v="No"/>
    <m/>
    <m/>
    <m/>
    <m/>
    <m/>
    <m/>
    <s v="BLADE 13"/>
    <n v="1"/>
    <m/>
    <m/>
    <s v="BL620C G7"/>
    <s v="x86 Tier 3"/>
    <s v="x86"/>
    <m/>
    <s v="RHEL 5.9"/>
    <n v="2"/>
    <m/>
    <n v="16"/>
    <s v=""/>
    <n v="128"/>
    <m/>
    <m/>
    <m/>
    <m/>
    <m/>
    <m/>
    <m/>
    <m/>
    <m/>
    <m/>
    <m/>
    <m/>
    <m/>
    <m/>
    <n v="202.20000000000002"/>
    <n v="3200"/>
    <x v="14"/>
    <m/>
    <x v="14"/>
    <n v="3000"/>
    <m/>
    <x v="1"/>
    <n v="0"/>
    <m/>
    <n v="0"/>
    <m/>
    <m/>
    <n v="1600.9250000000002"/>
    <n v="240.13875000000002"/>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0"/>
    <n v="0"/>
    <n v="888.7"/>
    <n v="4564.6650000000009"/>
    <n v="644.37231250000002"/>
    <n v="6097.7373125000004"/>
    <n v="6097.7373125000004"/>
    <n v="6097.7373125000004"/>
    <n v="888.7"/>
    <n v="2"/>
    <n v="16"/>
    <n v="128"/>
    <n v="0"/>
    <n v="0"/>
    <n v="0"/>
    <n v="0"/>
    <n v="608"/>
    <n v="0"/>
    <n v="0"/>
    <n v="93.600000000000009"/>
    <n v="0"/>
    <n v="187.1"/>
    <n v="0"/>
  </r>
  <r>
    <s v="PCR-AVATAR"/>
    <m/>
    <m/>
    <m/>
    <m/>
    <m/>
    <m/>
    <m/>
    <m/>
    <m/>
    <m/>
    <m/>
    <e v="#NAME?"/>
    <x v="0"/>
    <m/>
    <m/>
    <x v="1"/>
    <s v="PROD"/>
    <m/>
    <m/>
    <m/>
    <s v="DB Server Cluster1"/>
    <s v="Oracle RAC x86"/>
    <s v="DB"/>
    <s v="CBOL"/>
    <s v="DB-CBOL"/>
    <m/>
    <s v="No"/>
    <m/>
    <m/>
    <m/>
    <m/>
    <m/>
    <m/>
    <s v="BLADE 14"/>
    <n v="1"/>
    <m/>
    <m/>
    <s v="BL620C G7"/>
    <s v="x86 Tier 3"/>
    <s v="x86"/>
    <m/>
    <s v="RHEL 5.9"/>
    <n v="2"/>
    <m/>
    <n v="16"/>
    <s v=""/>
    <n v="128"/>
    <m/>
    <m/>
    <m/>
    <m/>
    <m/>
    <m/>
    <m/>
    <m/>
    <m/>
    <m/>
    <m/>
    <m/>
    <m/>
    <m/>
    <n v="202.20000000000002"/>
    <n v="200"/>
    <x v="15"/>
    <m/>
    <x v="15"/>
    <m/>
    <m/>
    <x v="1"/>
    <n v="0"/>
    <m/>
    <n v="0"/>
    <m/>
    <m/>
    <n v="101.10000000000001"/>
    <n v="15.16500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m/>
    <m/>
    <n v="888.7"/>
    <n v="181.98000000000002"/>
    <n v="40.692750000000004"/>
    <n v="1111.37275"/>
    <n v="1111.37275"/>
    <n v="1111.37275"/>
    <n v="888.7"/>
    <n v="2"/>
    <n v="16"/>
    <n v="128"/>
    <n v="0"/>
    <n v="0"/>
    <n v="0"/>
    <n v="0"/>
    <n v="608"/>
    <n v="0"/>
    <n v="0"/>
    <n v="93.600000000000009"/>
    <n v="0"/>
    <n v="187.1"/>
    <n v="0"/>
  </r>
  <r>
    <s v="PCR-AVATAR"/>
    <m/>
    <m/>
    <m/>
    <m/>
    <m/>
    <m/>
    <m/>
    <m/>
    <m/>
    <m/>
    <m/>
    <e v="#NAME?"/>
    <x v="1"/>
    <m/>
    <m/>
    <x v="6"/>
    <s v="PROD"/>
    <m/>
    <m/>
    <m/>
    <s v="Data Guard Cluster1"/>
    <s v="Oracle RAC x86"/>
    <s v="DB"/>
    <s v="CBOL"/>
    <s v="DB-CBOL"/>
    <m/>
    <s v="No"/>
    <m/>
    <m/>
    <m/>
    <m/>
    <m/>
    <m/>
    <s v="BLADE 15"/>
    <n v="1"/>
    <m/>
    <m/>
    <s v="BL620C G7"/>
    <s v="x86 Tier 3"/>
    <s v="x86"/>
    <m/>
    <s v="RHEL 5.9"/>
    <n v="2"/>
    <m/>
    <n v="16"/>
    <s v=""/>
    <n v="128"/>
    <m/>
    <m/>
    <m/>
    <m/>
    <m/>
    <m/>
    <m/>
    <m/>
    <m/>
    <m/>
    <m/>
    <m/>
    <m/>
    <m/>
    <n v="202.20000000000002"/>
    <n v="3200"/>
    <x v="14"/>
    <m/>
    <x v="14"/>
    <n v="3000"/>
    <m/>
    <x v="1"/>
    <n v="0"/>
    <m/>
    <n v="0"/>
    <m/>
    <m/>
    <n v="1600.9250000000002"/>
    <n v="240.13875000000002"/>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898.26250000000005"/>
    <n v="157.28333333333333"/>
    <n v="888.7"/>
    <n v="4564.6650000000009"/>
    <n v="644.37231250000002"/>
    <n v="6097.7373125000004"/>
    <n v="6995.9998125000002"/>
    <n v="6255.0206458333341"/>
    <n v="888.7"/>
    <n v="2"/>
    <n v="16"/>
    <n v="128"/>
    <n v="0"/>
    <n v="0"/>
    <n v="0"/>
    <n v="0"/>
    <n v="608"/>
    <n v="0"/>
    <n v="0"/>
    <n v="93.600000000000009"/>
    <n v="0"/>
    <n v="187.1"/>
    <n v="0"/>
  </r>
  <r>
    <s v="PCR-AVATAR"/>
    <m/>
    <m/>
    <m/>
    <m/>
    <m/>
    <m/>
    <m/>
    <m/>
    <m/>
    <m/>
    <m/>
    <e v="#NAME?"/>
    <x v="1"/>
    <m/>
    <m/>
    <x v="6"/>
    <s v="PROD"/>
    <m/>
    <m/>
    <m/>
    <s v="Data Guard Cluster1"/>
    <s v="Oracle RAC x86"/>
    <s v="DB"/>
    <s v="CBOL"/>
    <s v="DB-CBOL"/>
    <m/>
    <s v="No"/>
    <m/>
    <m/>
    <m/>
    <m/>
    <m/>
    <m/>
    <s v="BLADE 16"/>
    <n v="1"/>
    <m/>
    <m/>
    <s v="BL620C G7"/>
    <s v="x86 Tier 3"/>
    <s v="x86"/>
    <m/>
    <s v="RHEL 5.9"/>
    <n v="2"/>
    <m/>
    <n v="16"/>
    <s v=""/>
    <n v="128"/>
    <m/>
    <m/>
    <m/>
    <m/>
    <m/>
    <m/>
    <m/>
    <m/>
    <m/>
    <m/>
    <m/>
    <m/>
    <m/>
    <m/>
    <n v="202.20000000000002"/>
    <n v="200"/>
    <x v="15"/>
    <m/>
    <x v="15"/>
    <m/>
    <m/>
    <x v="1"/>
    <n v="0"/>
    <m/>
    <n v="0"/>
    <m/>
    <m/>
    <n v="101.10000000000001"/>
    <n v="15.16500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898.26250000000005"/>
    <n v="157.28333333333333"/>
    <n v="888.7"/>
    <n v="181.98000000000002"/>
    <n v="40.692750000000004"/>
    <n v="1111.37275"/>
    <n v="2009.63525"/>
    <n v="1268.6560833333333"/>
    <n v="888.7"/>
    <n v="2"/>
    <n v="16"/>
    <n v="128"/>
    <n v="0"/>
    <n v="0"/>
    <n v="0"/>
    <n v="0"/>
    <n v="608"/>
    <n v="0"/>
    <n v="0"/>
    <n v="93.600000000000009"/>
    <n v="0"/>
    <n v="187.1"/>
    <n v="0"/>
  </r>
  <r>
    <s v="PCR-AVATAR"/>
    <m/>
    <m/>
    <m/>
    <m/>
    <m/>
    <m/>
    <m/>
    <m/>
    <m/>
    <m/>
    <m/>
    <e v="#NAME?"/>
    <x v="0"/>
    <m/>
    <m/>
    <x v="1"/>
    <s v="PROD"/>
    <m/>
    <m/>
    <m/>
    <s v="DB Server Cluster2"/>
    <s v="Oracle RAC x86"/>
    <s v="DB"/>
    <s v="CBOL"/>
    <s v="DB-CBOL"/>
    <m/>
    <s v="No"/>
    <m/>
    <m/>
    <m/>
    <m/>
    <m/>
    <m/>
    <s v="BLADE 17"/>
    <n v="1"/>
    <m/>
    <m/>
    <s v="BL620C G7"/>
    <s v="x86 Tier 3"/>
    <s v="x86"/>
    <m/>
    <s v="RHEL 5.9"/>
    <n v="2"/>
    <m/>
    <n v="16"/>
    <s v=""/>
    <n v="128"/>
    <m/>
    <m/>
    <m/>
    <m/>
    <m/>
    <m/>
    <m/>
    <m/>
    <m/>
    <m/>
    <m/>
    <m/>
    <m/>
    <m/>
    <n v="202.20000000000002"/>
    <n v="3200"/>
    <x v="14"/>
    <m/>
    <x v="14"/>
    <n v="3000"/>
    <m/>
    <x v="1"/>
    <n v="0"/>
    <m/>
    <n v="0"/>
    <m/>
    <m/>
    <n v="1600.9250000000002"/>
    <n v="240.13875000000002"/>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m/>
    <m/>
    <n v="888.7"/>
    <n v="4564.6650000000009"/>
    <n v="644.37231250000002"/>
    <n v="6097.7373125000004"/>
    <n v="6097.7373125000004"/>
    <n v="6097.7373125000004"/>
    <n v="888.7"/>
    <n v="2"/>
    <n v="16"/>
    <n v="128"/>
    <n v="0"/>
    <n v="0"/>
    <n v="0"/>
    <n v="0"/>
    <n v="608"/>
    <n v="0"/>
    <n v="0"/>
    <n v="93.600000000000009"/>
    <n v="0"/>
    <n v="187.1"/>
    <n v="0"/>
  </r>
  <r>
    <s v="PCR-AVATAR"/>
    <m/>
    <m/>
    <m/>
    <m/>
    <m/>
    <m/>
    <m/>
    <m/>
    <m/>
    <m/>
    <m/>
    <e v="#NAME?"/>
    <x v="0"/>
    <m/>
    <m/>
    <x v="1"/>
    <s v="PROD"/>
    <m/>
    <m/>
    <m/>
    <s v="DB Server Cluster2"/>
    <s v="Oracle RAC x86"/>
    <s v="DB"/>
    <s v="CBOL"/>
    <s v="DB-CBOL"/>
    <m/>
    <s v="No"/>
    <m/>
    <m/>
    <m/>
    <m/>
    <m/>
    <m/>
    <s v="BLADE 18"/>
    <n v="1"/>
    <m/>
    <m/>
    <s v="BL620C G7"/>
    <s v="x86 Tier 3"/>
    <s v="x86"/>
    <m/>
    <s v="RHEL 5.9"/>
    <n v="2"/>
    <m/>
    <n v="16"/>
    <s v=""/>
    <n v="128"/>
    <m/>
    <m/>
    <m/>
    <m/>
    <m/>
    <m/>
    <m/>
    <m/>
    <m/>
    <m/>
    <m/>
    <m/>
    <m/>
    <m/>
    <n v="202.20000000000002"/>
    <n v="200"/>
    <x v="15"/>
    <m/>
    <x v="15"/>
    <m/>
    <m/>
    <x v="1"/>
    <n v="0"/>
    <m/>
    <n v="0"/>
    <m/>
    <m/>
    <n v="101.10000000000001"/>
    <n v="15.16500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m/>
    <m/>
    <n v="888.7"/>
    <n v="181.98000000000002"/>
    <n v="40.692750000000004"/>
    <n v="1111.37275"/>
    <n v="1111.37275"/>
    <n v="1111.37275"/>
    <n v="888.7"/>
    <n v="2"/>
    <n v="16"/>
    <n v="128"/>
    <n v="0"/>
    <n v="0"/>
    <n v="0"/>
    <n v="0"/>
    <n v="608"/>
    <n v="0"/>
    <n v="0"/>
    <n v="93.600000000000009"/>
    <n v="0"/>
    <n v="187.1"/>
    <n v="0"/>
  </r>
  <r>
    <s v="PCR-AVATAR"/>
    <m/>
    <m/>
    <m/>
    <m/>
    <m/>
    <m/>
    <m/>
    <m/>
    <m/>
    <m/>
    <m/>
    <e v="#NAME?"/>
    <x v="1"/>
    <m/>
    <m/>
    <x v="6"/>
    <s v="PROD"/>
    <m/>
    <m/>
    <m/>
    <s v="Data Guard Cluster2"/>
    <s v="Oracle RAC x86"/>
    <s v="DB"/>
    <s v="CBOL"/>
    <s v="DB-CBOL"/>
    <m/>
    <s v="No"/>
    <m/>
    <m/>
    <m/>
    <m/>
    <m/>
    <m/>
    <s v="BLADE 19"/>
    <n v="1"/>
    <m/>
    <m/>
    <s v="BL620C G7"/>
    <s v="x86 Tier 3"/>
    <s v="x86"/>
    <m/>
    <s v="RHEL 5.9"/>
    <n v="2"/>
    <m/>
    <n v="16"/>
    <s v=""/>
    <n v="128"/>
    <m/>
    <m/>
    <m/>
    <m/>
    <m/>
    <m/>
    <m/>
    <m/>
    <m/>
    <m/>
    <m/>
    <m/>
    <m/>
    <m/>
    <n v="202.20000000000002"/>
    <n v="3200"/>
    <x v="14"/>
    <m/>
    <x v="14"/>
    <n v="3000"/>
    <m/>
    <x v="1"/>
    <n v="0"/>
    <m/>
    <n v="0"/>
    <m/>
    <m/>
    <n v="1600.9250000000002"/>
    <n v="240.13875000000002"/>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m/>
    <m/>
    <n v="888.7"/>
    <n v="4564.6650000000009"/>
    <n v="644.37231250000002"/>
    <n v="6097.7373125000004"/>
    <n v="6097.7373125000004"/>
    <n v="6097.7373125000004"/>
    <n v="888.7"/>
    <n v="2"/>
    <n v="16"/>
    <n v="128"/>
    <n v="0"/>
    <n v="0"/>
    <n v="0"/>
    <n v="0"/>
    <n v="608"/>
    <n v="0"/>
    <n v="0"/>
    <n v="93.600000000000009"/>
    <n v="0"/>
    <n v="187.1"/>
    <n v="0"/>
  </r>
  <r>
    <s v="PCR-AVATAR"/>
    <m/>
    <m/>
    <m/>
    <m/>
    <m/>
    <m/>
    <m/>
    <m/>
    <m/>
    <m/>
    <m/>
    <e v="#NAME?"/>
    <x v="1"/>
    <m/>
    <m/>
    <x v="6"/>
    <s v="PROD"/>
    <m/>
    <m/>
    <m/>
    <s v="Data Guard Cluster2"/>
    <s v="Oracle RAC x86"/>
    <s v="DB"/>
    <s v="CBOL"/>
    <s v="DB-CBOL"/>
    <m/>
    <s v="No"/>
    <m/>
    <m/>
    <m/>
    <m/>
    <m/>
    <m/>
    <s v="BLADE 20"/>
    <n v="1"/>
    <m/>
    <m/>
    <s v="BL620C G7"/>
    <s v="x86 Tier 3"/>
    <s v="x86"/>
    <m/>
    <s v="RHEL 5.9"/>
    <n v="2"/>
    <m/>
    <n v="16"/>
    <m/>
    <n v="128"/>
    <m/>
    <m/>
    <m/>
    <m/>
    <m/>
    <m/>
    <m/>
    <m/>
    <m/>
    <m/>
    <m/>
    <m/>
    <m/>
    <m/>
    <n v="202.20000000000002"/>
    <n v="200"/>
    <x v="15"/>
    <m/>
    <x v="15"/>
    <m/>
    <m/>
    <x v="1"/>
    <n v="0"/>
    <m/>
    <n v="0"/>
    <m/>
    <m/>
    <n v="101.10000000000001"/>
    <n v="15.16500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m/>
    <m/>
    <n v="888.7"/>
    <n v="181.98000000000002"/>
    <n v="40.692750000000004"/>
    <n v="1111.37275"/>
    <n v="1111.37275"/>
    <n v="1111.37275"/>
    <n v="888.7"/>
    <n v="2"/>
    <n v="16"/>
    <n v="128"/>
    <n v="0"/>
    <n v="0"/>
    <n v="0"/>
    <n v="0"/>
    <n v="608"/>
    <n v="0"/>
    <n v="0"/>
    <n v="93.600000000000009"/>
    <n v="0"/>
    <n v="187.1"/>
    <n v="0"/>
  </r>
  <r>
    <s v="PCR-AVATAR"/>
    <m/>
    <m/>
    <m/>
    <m/>
    <m/>
    <m/>
    <m/>
    <m/>
    <m/>
    <m/>
    <m/>
    <e v="#NAME?"/>
    <x v="0"/>
    <m/>
    <m/>
    <x v="1"/>
    <s v="PROD"/>
    <m/>
    <m/>
    <m/>
    <s v="CitiAlert Server"/>
    <s v="java, MQ7, NDM"/>
    <s v="AP"/>
    <s v="CBOL"/>
    <s v="AP-CBOL"/>
    <m/>
    <s v="No"/>
    <m/>
    <m/>
    <m/>
    <m/>
    <m/>
    <m/>
    <s v="New LPAR 1"/>
    <n v="1"/>
    <m/>
    <m/>
    <s v="IBM p7 p795"/>
    <s v="IBM P-Series Tier 2"/>
    <s v="pSeries"/>
    <m/>
    <s v="AIX 6.1"/>
    <n v="1"/>
    <m/>
    <n v="1"/>
    <m/>
    <n v="48"/>
    <m/>
    <m/>
    <m/>
    <m/>
    <m/>
    <m/>
    <m/>
    <m/>
    <m/>
    <m/>
    <m/>
    <m/>
    <m/>
    <m/>
    <n v="0"/>
    <n v="700"/>
    <x v="16"/>
    <m/>
    <x v="16"/>
    <n v="600"/>
    <m/>
    <x v="0"/>
    <n v="0"/>
    <m/>
    <n v="0"/>
    <m/>
    <m/>
    <n v="326.92500000000001"/>
    <n v="49.03875"/>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1304.0999999999999"/>
    <n v="1739.931"/>
    <n v="131.5873125"/>
    <n v="3175.6183124999998"/>
    <n v="3175.6183124999998"/>
    <n v="3175.6183124999998"/>
    <n v="1304.0999999999999"/>
    <n v="1"/>
    <n v="1"/>
    <n v="48"/>
    <n v="0"/>
    <n v="0"/>
    <n v="0"/>
    <n v="0"/>
    <n v="829"/>
    <n v="0"/>
    <n v="0"/>
    <n v="288"/>
    <n v="0"/>
    <n v="187.1"/>
    <n v="0"/>
  </r>
  <r>
    <s v="PCR-AVATAR"/>
    <m/>
    <m/>
    <m/>
    <m/>
    <m/>
    <m/>
    <m/>
    <m/>
    <m/>
    <m/>
    <m/>
    <e v="#NAME?"/>
    <x v="0"/>
    <m/>
    <m/>
    <x v="1"/>
    <s v="PROD"/>
    <m/>
    <m/>
    <m/>
    <s v="CitiAlert Server"/>
    <s v="java, MQ7, NDM"/>
    <s v="AP"/>
    <s v="CBOL"/>
    <s v="AP-CBOL"/>
    <m/>
    <s v="No"/>
    <m/>
    <m/>
    <m/>
    <m/>
    <m/>
    <m/>
    <s v="New LPAR 2"/>
    <n v="1"/>
    <m/>
    <m/>
    <s v="IBM p7 p795"/>
    <s v="IBM P-Series Tier 2"/>
    <s v="pSeries"/>
    <m/>
    <s v="AIX 6.1"/>
    <n v="1"/>
    <m/>
    <n v="1"/>
    <m/>
    <n v="48"/>
    <m/>
    <m/>
    <m/>
    <m/>
    <m/>
    <m/>
    <m/>
    <m/>
    <m/>
    <m/>
    <m/>
    <m/>
    <m/>
    <m/>
    <n v="0"/>
    <n v="100"/>
    <x v="3"/>
    <m/>
    <x v="3"/>
    <m/>
    <m/>
    <x v="0"/>
    <n v="0"/>
    <m/>
    <n v="0"/>
    <m/>
    <m/>
    <n v="25.275000000000002"/>
    <n v="3.7912500000000002"/>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1304.0999999999999"/>
    <n v="108.17700000000001"/>
    <n v="10.173187500000001"/>
    <n v="1422.4501874999999"/>
    <n v="1422.4501874999999"/>
    <n v="1422.4501874999999"/>
    <n v="1304.0999999999999"/>
    <n v="1"/>
    <n v="1"/>
    <n v="48"/>
    <n v="0"/>
    <n v="0"/>
    <n v="0"/>
    <n v="0"/>
    <n v="829"/>
    <n v="0"/>
    <n v="0"/>
    <n v="288"/>
    <n v="0"/>
    <n v="187.1"/>
    <n v="0"/>
  </r>
  <r>
    <s v="PCR-AVATAR"/>
    <m/>
    <m/>
    <m/>
    <m/>
    <m/>
    <m/>
    <m/>
    <m/>
    <m/>
    <m/>
    <m/>
    <e v="#NAME?"/>
    <x v="0"/>
    <m/>
    <m/>
    <x v="1"/>
    <s v="PROD"/>
    <m/>
    <m/>
    <m/>
    <s v="ESTMT"/>
    <s v="Websphere7, NDM, ODWEK, MQ, IHS"/>
    <s v="AP"/>
    <s v="CBOL"/>
    <s v="AP-CBOL"/>
    <m/>
    <s v="Yes - Outside this BoM"/>
    <m/>
    <m/>
    <m/>
    <s v="a"/>
    <m/>
    <m/>
    <s v="fdcgcgestaa01p"/>
    <n v="1"/>
    <m/>
    <m/>
    <s v="IBM p7 p795"/>
    <s v="IBM P-Series Tier 2"/>
    <s v="pSeries"/>
    <m/>
    <s v="AIX 6.1"/>
    <n v="1"/>
    <m/>
    <n v="2"/>
    <m/>
    <n v="16"/>
    <m/>
    <m/>
    <m/>
    <m/>
    <m/>
    <m/>
    <m/>
    <m/>
    <m/>
    <m/>
    <m/>
    <m/>
    <m/>
    <m/>
    <n v="0"/>
    <n v="100"/>
    <x v="3"/>
    <m/>
    <x v="3"/>
    <m/>
    <m/>
    <x v="0"/>
    <n v="0"/>
    <m/>
    <n v="0"/>
    <m/>
    <m/>
    <n v="25.275000000000002"/>
    <n v="3.7912500000000002"/>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829"/>
    <n v="108.17700000000001"/>
    <n v="10.173187500000001"/>
    <n v="947.35018750000006"/>
    <n v="947.35018750000006"/>
    <n v="947.35018750000006"/>
    <n v="829"/>
    <n v="1"/>
    <n v="2"/>
    <n v="16"/>
    <n v="0"/>
    <n v="0"/>
    <n v="0"/>
    <n v="0"/>
    <n v="829"/>
    <n v="0"/>
    <n v="0"/>
    <n v="0"/>
    <n v="0"/>
    <n v="0"/>
    <n v="0"/>
  </r>
  <r>
    <s v="PCR-AVATAR"/>
    <m/>
    <m/>
    <m/>
    <m/>
    <m/>
    <m/>
    <m/>
    <m/>
    <m/>
    <m/>
    <m/>
    <e v="#NAME?"/>
    <x v="0"/>
    <m/>
    <m/>
    <x v="1"/>
    <s v="PROD"/>
    <m/>
    <m/>
    <m/>
    <s v="ESTMT"/>
    <s v="Websphere7, NDM, ODWEK, MQ, IHS"/>
    <s v="AP"/>
    <s v="CBOL"/>
    <s v="AP-CBOL"/>
    <m/>
    <s v="Yes - Outside this BoM"/>
    <m/>
    <m/>
    <m/>
    <m/>
    <m/>
    <m/>
    <s v="fdcgcgestaa02p"/>
    <n v="1"/>
    <m/>
    <m/>
    <s v="IBM p7 p795"/>
    <s v="IBM P-Series Tier 2"/>
    <s v="pSeries"/>
    <m/>
    <s v="AIX 6.1"/>
    <n v="1"/>
    <m/>
    <n v="2"/>
    <m/>
    <n v="16"/>
    <m/>
    <m/>
    <m/>
    <m/>
    <m/>
    <m/>
    <m/>
    <m/>
    <m/>
    <m/>
    <m/>
    <m/>
    <m/>
    <m/>
    <n v="0"/>
    <n v="100"/>
    <x v="3"/>
    <m/>
    <x v="3"/>
    <m/>
    <m/>
    <x v="0"/>
    <n v="0"/>
    <m/>
    <n v="0"/>
    <m/>
    <m/>
    <n v="25.275000000000002"/>
    <n v="3.7912500000000002"/>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829"/>
    <n v="108.17700000000001"/>
    <n v="10.173187500000001"/>
    <n v="947.35018750000006"/>
    <n v="947.35018750000006"/>
    <n v="947.35018750000006"/>
    <n v="829"/>
    <n v="1"/>
    <n v="2"/>
    <n v="16"/>
    <n v="0"/>
    <n v="0"/>
    <n v="0"/>
    <n v="0"/>
    <n v="829"/>
    <n v="0"/>
    <n v="0"/>
    <n v="0"/>
    <n v="0"/>
    <n v="0"/>
    <n v="0"/>
  </r>
  <r>
    <s v="PCR-AVATAR"/>
    <m/>
    <m/>
    <m/>
    <m/>
    <m/>
    <m/>
    <m/>
    <m/>
    <m/>
    <m/>
    <m/>
    <e v="#NAME?"/>
    <x v="0"/>
    <m/>
    <m/>
    <x v="7"/>
    <s v="UAT"/>
    <m/>
    <m/>
    <m/>
    <s v="Web Server"/>
    <s v="IBM HTTP x86"/>
    <s v="WW"/>
    <s v="CBOL"/>
    <s v="WW-CBOL"/>
    <m/>
    <s v="No"/>
    <m/>
    <m/>
    <m/>
    <m/>
    <m/>
    <m/>
    <s v="UAT-BLADE 1"/>
    <n v="1"/>
    <m/>
    <m/>
    <s v="BL620C G7"/>
    <s v="x86 Tier 3"/>
    <s v="x86"/>
    <m/>
    <s v="RHEL 5.9"/>
    <n v="2"/>
    <m/>
    <n v="16"/>
    <s v=""/>
    <n v="128"/>
    <m/>
    <m/>
    <m/>
    <m/>
    <m/>
    <m/>
    <m/>
    <m/>
    <m/>
    <m/>
    <m/>
    <m/>
    <m/>
    <m/>
    <n v="202.20000000000002"/>
    <n v="600"/>
    <x v="12"/>
    <m/>
    <x v="12"/>
    <m/>
    <m/>
    <x v="1"/>
    <n v="0"/>
    <m/>
    <n v="0"/>
    <m/>
    <m/>
    <n v="202.20000000000002"/>
    <n v="30.330000000000002"/>
    <m/>
    <m/>
    <m/>
    <m/>
    <m/>
    <m/>
    <m/>
    <m/>
    <m/>
    <m/>
    <m/>
    <m/>
    <n v="0"/>
    <n v="0"/>
    <n v="0"/>
    <n v="0"/>
    <n v="0"/>
    <n v="0"/>
    <n v="0"/>
    <n v="0"/>
    <n v="0"/>
    <n v="16"/>
    <n v="0"/>
    <n v="0"/>
    <n v="0"/>
    <n v="0"/>
    <n v="0"/>
    <n v="0"/>
    <n v="0"/>
    <n v="0"/>
    <n v="0"/>
    <n v="0"/>
    <n v="0"/>
    <n v="0"/>
    <n v="0"/>
    <n v="0"/>
    <n v="0"/>
    <n v="0"/>
    <n v="0"/>
    <n v="0"/>
    <n v="0"/>
    <n v="0"/>
    <n v="0"/>
    <n v="0"/>
    <n v="0"/>
    <n v="0"/>
    <n v="0"/>
    <n v="0"/>
    <n v="0"/>
    <n v="0"/>
    <n v="0"/>
    <n v="0"/>
    <n v="0"/>
    <n v="0"/>
    <n v="0"/>
    <n v="0"/>
    <n v="0"/>
    <n v="0"/>
    <n v="0"/>
    <n v="0"/>
    <n v="0"/>
    <n v="0"/>
    <n v="0"/>
    <n v="0"/>
    <m/>
    <n v="0"/>
    <n v="0"/>
    <n v="888.7"/>
    <n v="363.96000000000004"/>
    <n v="81.385500000000008"/>
    <n v="1334.0455000000002"/>
    <n v="1334.0455000000002"/>
    <n v="1334.0455000000002"/>
    <n v="888.7"/>
    <n v="2"/>
    <n v="16"/>
    <n v="128"/>
    <n v="0"/>
    <n v="0"/>
    <n v="0"/>
    <n v="0"/>
    <n v="608"/>
    <n v="0"/>
    <n v="0"/>
    <n v="93.600000000000009"/>
    <n v="0"/>
    <n v="187.1"/>
    <n v="0"/>
  </r>
  <r>
    <s v="PCR-AVATAR"/>
    <m/>
    <m/>
    <m/>
    <m/>
    <m/>
    <m/>
    <m/>
    <m/>
    <m/>
    <m/>
    <m/>
    <e v="#NAME?"/>
    <x v="1"/>
    <m/>
    <m/>
    <x v="4"/>
    <s v="UAT"/>
    <m/>
    <m/>
    <m/>
    <s v="Web Server"/>
    <s v="IBM HTTP x86"/>
    <s v="WW"/>
    <s v="CBOL"/>
    <s v="WW-CBOL"/>
    <m/>
    <s v="No"/>
    <m/>
    <m/>
    <m/>
    <m/>
    <m/>
    <m/>
    <s v="UAT-BLADE 2"/>
    <n v="1"/>
    <m/>
    <m/>
    <s v="BL620C G7"/>
    <s v="x86 Tier 3"/>
    <s v="x86"/>
    <m/>
    <s v="RHEL 5.9"/>
    <n v="2"/>
    <m/>
    <n v="16"/>
    <s v=""/>
    <n v="128"/>
    <m/>
    <m/>
    <m/>
    <m/>
    <m/>
    <m/>
    <m/>
    <m/>
    <m/>
    <m/>
    <m/>
    <m/>
    <m/>
    <m/>
    <n v="202.20000000000002"/>
    <n v="600"/>
    <x v="12"/>
    <m/>
    <x v="12"/>
    <m/>
    <m/>
    <x v="1"/>
    <n v="0"/>
    <m/>
    <n v="0"/>
    <m/>
    <m/>
    <n v="202.20000000000002"/>
    <n v="30.330000000000002"/>
    <m/>
    <m/>
    <m/>
    <m/>
    <m/>
    <m/>
    <m/>
    <m/>
    <m/>
    <m/>
    <m/>
    <m/>
    <n v="0"/>
    <n v="0"/>
    <n v="0"/>
    <n v="0"/>
    <n v="0"/>
    <n v="0"/>
    <n v="0"/>
    <n v="0"/>
    <n v="0"/>
    <n v="16"/>
    <n v="0"/>
    <n v="0"/>
    <n v="0"/>
    <n v="0"/>
    <n v="0"/>
    <n v="0"/>
    <n v="0"/>
    <n v="0"/>
    <n v="0"/>
    <n v="0"/>
    <n v="0"/>
    <n v="0"/>
    <n v="0"/>
    <n v="0"/>
    <n v="0"/>
    <n v="0"/>
    <n v="0"/>
    <n v="0"/>
    <n v="0"/>
    <n v="0"/>
    <n v="0"/>
    <n v="0"/>
    <n v="0"/>
    <n v="0"/>
    <n v="0"/>
    <n v="0"/>
    <n v="0"/>
    <n v="0"/>
    <n v="0"/>
    <n v="0"/>
    <n v="0"/>
    <n v="0"/>
    <n v="0"/>
    <n v="0"/>
    <n v="0"/>
    <n v="0"/>
    <n v="0"/>
    <n v="0"/>
    <n v="0"/>
    <n v="0"/>
    <n v="0"/>
    <n v="0"/>
    <m/>
    <m/>
    <m/>
    <n v="888.7"/>
    <n v="363.96000000000004"/>
    <n v="81.385500000000008"/>
    <n v="1334.0455000000002"/>
    <n v="1334.0455000000002"/>
    <n v="1334.0455000000002"/>
    <n v="888.7"/>
    <n v="2"/>
    <n v="16"/>
    <n v="128"/>
    <n v="0"/>
    <n v="0"/>
    <n v="0"/>
    <n v="0"/>
    <n v="608"/>
    <n v="0"/>
    <n v="0"/>
    <n v="93.600000000000009"/>
    <n v="0"/>
    <n v="187.1"/>
    <n v="0"/>
  </r>
  <r>
    <s v="PCR-AVATAR"/>
    <m/>
    <m/>
    <m/>
    <m/>
    <m/>
    <m/>
    <m/>
    <m/>
    <m/>
    <m/>
    <m/>
    <e v="#NAME?"/>
    <x v="0"/>
    <m/>
    <m/>
    <x v="7"/>
    <s v="UAT"/>
    <m/>
    <m/>
    <m/>
    <s v="GR1 App Server"/>
    <s v="IBM WAS x86, CA APM, IBM HTTP x86"/>
    <s v="AP"/>
    <s v="CBOL"/>
    <s v="AP-CBOL"/>
    <m/>
    <s v="No"/>
    <m/>
    <m/>
    <m/>
    <m/>
    <m/>
    <m/>
    <s v="UAT-BLADE 3"/>
    <n v="1"/>
    <m/>
    <m/>
    <s v="BL620C G7"/>
    <s v="x86 Tier 3"/>
    <s v="x86"/>
    <m/>
    <s v="RHEL 5.9"/>
    <n v="2"/>
    <m/>
    <n v="16"/>
    <s v=""/>
    <n v="128"/>
    <m/>
    <m/>
    <m/>
    <m/>
    <m/>
    <m/>
    <m/>
    <m/>
    <m/>
    <m/>
    <m/>
    <m/>
    <m/>
    <m/>
    <n v="202.20000000000002"/>
    <n v="600"/>
    <x v="12"/>
    <m/>
    <x v="12"/>
    <m/>
    <m/>
    <x v="1"/>
    <n v="0"/>
    <m/>
    <n v="0"/>
    <m/>
    <m/>
    <n v="202.20000000000002"/>
    <n v="30.330000000000002"/>
    <m/>
    <m/>
    <m/>
    <m/>
    <m/>
    <m/>
    <m/>
    <m/>
    <m/>
    <m/>
    <s v="Websphere 8.5, IHS, Safenet, Oracle Client"/>
    <m/>
    <n v="0"/>
    <n v="1"/>
    <n v="0"/>
    <n v="0"/>
    <n v="0"/>
    <n v="0"/>
    <n v="0"/>
    <n v="0"/>
    <n v="0"/>
    <n v="16"/>
    <n v="0"/>
    <n v="0"/>
    <n v="16"/>
    <n v="0"/>
    <n v="0"/>
    <n v="0"/>
    <n v="0"/>
    <n v="0"/>
    <n v="0"/>
    <n v="0"/>
    <n v="0"/>
    <n v="0"/>
    <n v="0"/>
    <n v="0"/>
    <n v="0"/>
    <n v="0"/>
    <n v="0"/>
    <n v="0"/>
    <n v="0"/>
    <n v="0"/>
    <n v="0"/>
    <n v="0"/>
    <n v="0"/>
    <n v="0"/>
    <n v="0"/>
    <n v="0"/>
    <n v="0"/>
    <n v="0"/>
    <n v="0"/>
    <n v="0"/>
    <n v="0"/>
    <n v="0"/>
    <n v="0"/>
    <n v="0"/>
    <n v="0"/>
    <n v="0"/>
    <n v="0"/>
    <n v="0"/>
    <n v="0"/>
    <n v="0"/>
    <n v="0"/>
    <n v="0"/>
    <m/>
    <n v="4102"/>
    <n v="1638"/>
    <n v="888.7"/>
    <n v="363.96000000000004"/>
    <n v="81.385500000000008"/>
    <n v="1334.0455000000002"/>
    <n v="5436.0455000000002"/>
    <n v="2972.0455000000002"/>
    <n v="888.7"/>
    <n v="2"/>
    <n v="16"/>
    <n v="128"/>
    <n v="0"/>
    <n v="0"/>
    <n v="0"/>
    <n v="0"/>
    <n v="608"/>
    <n v="0"/>
    <n v="0"/>
    <n v="93.600000000000009"/>
    <n v="0"/>
    <n v="187.1"/>
    <n v="0"/>
  </r>
  <r>
    <s v="PCR-AVATAR"/>
    <m/>
    <m/>
    <m/>
    <m/>
    <m/>
    <m/>
    <m/>
    <m/>
    <m/>
    <m/>
    <m/>
    <e v="#NAME?"/>
    <x v="1"/>
    <m/>
    <m/>
    <x v="4"/>
    <s v="UAT"/>
    <m/>
    <m/>
    <m/>
    <s v="GR1 App Server"/>
    <s v="IBM WAS x86, CA APM, IBM HTTP x86"/>
    <s v="AP"/>
    <s v="CBOL"/>
    <s v="AP-CBOL"/>
    <m/>
    <s v="No"/>
    <m/>
    <m/>
    <m/>
    <m/>
    <m/>
    <m/>
    <s v="UAT-BLADE 4"/>
    <n v="1"/>
    <m/>
    <m/>
    <s v="BL620C G7"/>
    <s v="x86 Tier 3"/>
    <s v="x86"/>
    <m/>
    <s v="RHEL 5.9"/>
    <n v="2"/>
    <m/>
    <n v="16"/>
    <s v=""/>
    <n v="128"/>
    <m/>
    <m/>
    <m/>
    <m/>
    <m/>
    <m/>
    <m/>
    <m/>
    <m/>
    <m/>
    <m/>
    <m/>
    <m/>
    <m/>
    <n v="202.20000000000002"/>
    <n v="600"/>
    <x v="12"/>
    <m/>
    <x v="12"/>
    <m/>
    <m/>
    <x v="1"/>
    <n v="0"/>
    <m/>
    <n v="0"/>
    <m/>
    <m/>
    <n v="202.20000000000002"/>
    <n v="30.330000000000002"/>
    <m/>
    <m/>
    <m/>
    <m/>
    <m/>
    <m/>
    <m/>
    <m/>
    <m/>
    <m/>
    <s v="Websphere 8.5, IHS, Safenet, Oracle Client"/>
    <m/>
    <n v="0"/>
    <n v="1"/>
    <n v="0"/>
    <n v="0"/>
    <n v="0"/>
    <n v="0"/>
    <n v="0"/>
    <n v="0"/>
    <n v="0"/>
    <n v="16"/>
    <n v="0"/>
    <n v="0"/>
    <n v="16"/>
    <n v="0"/>
    <n v="0"/>
    <n v="0"/>
    <n v="0"/>
    <n v="0"/>
    <n v="0"/>
    <n v="0"/>
    <n v="0"/>
    <n v="0"/>
    <n v="0"/>
    <n v="0"/>
    <n v="0"/>
    <n v="0"/>
    <n v="0"/>
    <n v="0"/>
    <n v="0"/>
    <n v="0"/>
    <n v="0"/>
    <n v="0"/>
    <n v="0"/>
    <n v="0"/>
    <n v="0"/>
    <n v="0"/>
    <n v="0"/>
    <n v="0"/>
    <n v="0"/>
    <n v="0"/>
    <n v="0"/>
    <n v="0"/>
    <n v="0"/>
    <n v="0"/>
    <n v="0"/>
    <n v="0"/>
    <n v="0"/>
    <n v="0"/>
    <n v="0"/>
    <n v="0"/>
    <n v="0"/>
    <n v="0"/>
    <m/>
    <m/>
    <m/>
    <n v="888.7"/>
    <n v="363.96000000000004"/>
    <n v="81.385500000000008"/>
    <n v="1334.0455000000002"/>
    <n v="1334.0455000000002"/>
    <n v="1334.0455000000002"/>
    <n v="888.7"/>
    <n v="2"/>
    <n v="16"/>
    <n v="128"/>
    <n v="0"/>
    <n v="0"/>
    <n v="0"/>
    <n v="0"/>
    <n v="608"/>
    <n v="0"/>
    <n v="0"/>
    <n v="93.600000000000009"/>
    <n v="0"/>
    <n v="187.1"/>
    <n v="0"/>
  </r>
  <r>
    <s v="PCR-AVATAR"/>
    <m/>
    <m/>
    <m/>
    <m/>
    <m/>
    <m/>
    <m/>
    <m/>
    <m/>
    <m/>
    <m/>
    <e v="#NAME?"/>
    <x v="0"/>
    <m/>
    <m/>
    <x v="7"/>
    <s v="UAT"/>
    <m/>
    <m/>
    <m/>
    <s v="GR2 App Server"/>
    <s v="IBM WAS x86, CA APM, IBM HTTP x86"/>
    <s v="AP"/>
    <s v="CBOL"/>
    <s v="AP-CBOL"/>
    <m/>
    <s v="No"/>
    <m/>
    <m/>
    <m/>
    <m/>
    <m/>
    <m/>
    <s v="UAT-BLADE 5"/>
    <n v="1"/>
    <m/>
    <m/>
    <s v="BL620C G7"/>
    <s v="x86 Tier 3"/>
    <s v="x86"/>
    <m/>
    <s v="RHEL 5.9"/>
    <n v="2"/>
    <m/>
    <n v="16"/>
    <s v=""/>
    <n v="128"/>
    <m/>
    <m/>
    <m/>
    <m/>
    <m/>
    <m/>
    <m/>
    <m/>
    <m/>
    <m/>
    <m/>
    <m/>
    <m/>
    <m/>
    <n v="202.20000000000002"/>
    <n v="600"/>
    <x v="12"/>
    <m/>
    <x v="12"/>
    <m/>
    <m/>
    <x v="1"/>
    <n v="0"/>
    <m/>
    <n v="0"/>
    <m/>
    <m/>
    <n v="202.20000000000002"/>
    <n v="30.330000000000002"/>
    <m/>
    <m/>
    <m/>
    <m/>
    <m/>
    <m/>
    <m/>
    <m/>
    <m/>
    <m/>
    <s v="Websphere 8.5, IHS, Safenet, Oracle Client"/>
    <m/>
    <n v="0"/>
    <n v="1"/>
    <n v="0"/>
    <n v="0"/>
    <n v="0"/>
    <n v="0"/>
    <n v="0"/>
    <n v="0"/>
    <n v="0"/>
    <n v="16"/>
    <n v="0"/>
    <n v="0"/>
    <n v="16"/>
    <n v="0"/>
    <n v="0"/>
    <n v="0"/>
    <n v="0"/>
    <n v="0"/>
    <n v="0"/>
    <n v="0"/>
    <n v="0"/>
    <n v="0"/>
    <n v="0"/>
    <n v="0"/>
    <n v="0"/>
    <n v="0"/>
    <n v="0"/>
    <n v="0"/>
    <n v="0"/>
    <n v="0"/>
    <n v="0"/>
    <n v="0"/>
    <n v="0"/>
    <n v="0"/>
    <n v="0"/>
    <n v="0"/>
    <n v="0"/>
    <n v="0"/>
    <n v="0"/>
    <n v="0"/>
    <n v="0"/>
    <n v="0"/>
    <n v="0"/>
    <n v="0"/>
    <n v="0"/>
    <n v="0"/>
    <n v="0"/>
    <n v="0"/>
    <n v="0"/>
    <n v="0"/>
    <n v="0"/>
    <n v="0"/>
    <m/>
    <n v="4102"/>
    <n v="1638"/>
    <n v="888.7"/>
    <n v="363.96000000000004"/>
    <n v="81.385500000000008"/>
    <n v="1334.0455000000002"/>
    <n v="5436.0455000000002"/>
    <n v="2972.0455000000002"/>
    <n v="888.7"/>
    <n v="2"/>
    <n v="16"/>
    <n v="128"/>
    <n v="0"/>
    <n v="0"/>
    <n v="0"/>
    <n v="0"/>
    <n v="608"/>
    <n v="0"/>
    <n v="0"/>
    <n v="93.600000000000009"/>
    <n v="0"/>
    <n v="187.1"/>
    <n v="0"/>
  </r>
  <r>
    <s v="PCR-AVATAR"/>
    <m/>
    <m/>
    <m/>
    <m/>
    <m/>
    <m/>
    <m/>
    <m/>
    <m/>
    <m/>
    <m/>
    <e v="#NAME?"/>
    <x v="1"/>
    <m/>
    <m/>
    <x v="4"/>
    <s v="UAT"/>
    <m/>
    <m/>
    <m/>
    <s v="GR2 App Server"/>
    <s v="IBM WAS x86, CA APM, IBM HTTP x86"/>
    <s v="AP"/>
    <s v="CBOL"/>
    <s v="AP-CBOL"/>
    <m/>
    <s v="No"/>
    <m/>
    <m/>
    <m/>
    <m/>
    <m/>
    <m/>
    <s v="UAT-BLADE 6"/>
    <n v="1"/>
    <m/>
    <m/>
    <s v="BL620C G7"/>
    <s v="x86 Tier 3"/>
    <s v="x86"/>
    <m/>
    <s v="RHEL 5.9"/>
    <n v="2"/>
    <m/>
    <n v="16"/>
    <s v=""/>
    <n v="128"/>
    <m/>
    <m/>
    <m/>
    <m/>
    <m/>
    <m/>
    <m/>
    <m/>
    <m/>
    <m/>
    <m/>
    <m/>
    <m/>
    <m/>
    <n v="202.20000000000002"/>
    <n v="600"/>
    <x v="12"/>
    <m/>
    <x v="12"/>
    <m/>
    <m/>
    <x v="1"/>
    <n v="0"/>
    <m/>
    <n v="0"/>
    <m/>
    <m/>
    <n v="202.20000000000002"/>
    <n v="30.330000000000002"/>
    <m/>
    <m/>
    <m/>
    <m/>
    <m/>
    <m/>
    <m/>
    <m/>
    <m/>
    <m/>
    <s v="Websphere 8.5, IHS, Safenet, Oracle Client"/>
    <m/>
    <n v="0"/>
    <n v="1"/>
    <n v="0"/>
    <n v="0"/>
    <n v="0"/>
    <n v="0"/>
    <n v="0"/>
    <n v="0"/>
    <n v="0"/>
    <n v="16"/>
    <n v="0"/>
    <n v="0"/>
    <n v="16"/>
    <n v="0"/>
    <n v="0"/>
    <n v="0"/>
    <n v="0"/>
    <n v="0"/>
    <n v="0"/>
    <n v="0"/>
    <n v="0"/>
    <n v="0"/>
    <n v="0"/>
    <n v="0"/>
    <n v="0"/>
    <n v="0"/>
    <n v="0"/>
    <n v="0"/>
    <n v="0"/>
    <n v="0"/>
    <n v="0"/>
    <n v="0"/>
    <n v="0"/>
    <n v="0"/>
    <n v="0"/>
    <n v="0"/>
    <n v="0"/>
    <n v="0"/>
    <n v="0"/>
    <n v="0"/>
    <n v="0"/>
    <n v="0"/>
    <n v="0"/>
    <n v="0"/>
    <n v="0"/>
    <n v="0"/>
    <n v="0"/>
    <n v="0"/>
    <n v="0"/>
    <n v="0"/>
    <n v="0"/>
    <n v="0"/>
    <m/>
    <m/>
    <m/>
    <n v="888.7"/>
    <n v="363.96000000000004"/>
    <n v="81.385500000000008"/>
    <n v="1334.0455000000002"/>
    <n v="1334.0455000000002"/>
    <n v="1334.0455000000002"/>
    <n v="888.7"/>
    <n v="2"/>
    <n v="16"/>
    <n v="128"/>
    <n v="0"/>
    <n v="0"/>
    <n v="0"/>
    <n v="0"/>
    <n v="608"/>
    <n v="0"/>
    <n v="0"/>
    <n v="93.600000000000009"/>
    <n v="0"/>
    <n v="187.1"/>
    <n v="0"/>
  </r>
  <r>
    <s v="PCR-AVATAR"/>
    <m/>
    <m/>
    <m/>
    <m/>
    <m/>
    <m/>
    <m/>
    <m/>
    <m/>
    <m/>
    <m/>
    <e v="#NAME?"/>
    <x v="0"/>
    <m/>
    <m/>
    <x v="7"/>
    <s v="UAT"/>
    <m/>
    <m/>
    <m/>
    <s v="GR3 App Server"/>
    <s v="IBM WAS x86, CA APM, IBM HTTP x86"/>
    <s v="AP"/>
    <s v="CBOL"/>
    <s v="AP-CBOL"/>
    <m/>
    <s v="No"/>
    <m/>
    <m/>
    <m/>
    <m/>
    <m/>
    <m/>
    <s v="UAT-BLADE 7"/>
    <n v="1"/>
    <m/>
    <m/>
    <s v="BL620C G7"/>
    <s v="x86 Tier 3"/>
    <s v="x86"/>
    <m/>
    <s v="RHEL 5.9"/>
    <n v="2"/>
    <m/>
    <n v="16"/>
    <s v=""/>
    <n v="128"/>
    <m/>
    <m/>
    <m/>
    <m/>
    <m/>
    <m/>
    <m/>
    <m/>
    <m/>
    <m/>
    <m/>
    <m/>
    <m/>
    <m/>
    <n v="202.20000000000002"/>
    <n v="600"/>
    <x v="12"/>
    <m/>
    <x v="12"/>
    <m/>
    <m/>
    <x v="1"/>
    <n v="0"/>
    <m/>
    <n v="0"/>
    <m/>
    <m/>
    <n v="202.20000000000002"/>
    <n v="30.330000000000002"/>
    <m/>
    <m/>
    <m/>
    <m/>
    <m/>
    <m/>
    <m/>
    <m/>
    <m/>
    <m/>
    <s v="Websphere 8.5, IHS, Safenet, Oracle Client"/>
    <m/>
    <n v="0"/>
    <n v="1"/>
    <n v="0"/>
    <n v="0"/>
    <n v="0"/>
    <n v="0"/>
    <n v="0"/>
    <n v="0"/>
    <n v="0"/>
    <n v="16"/>
    <n v="0"/>
    <n v="0"/>
    <n v="16"/>
    <n v="0"/>
    <n v="0"/>
    <n v="0"/>
    <n v="0"/>
    <n v="0"/>
    <n v="0"/>
    <n v="0"/>
    <n v="0"/>
    <n v="0"/>
    <n v="0"/>
    <n v="0"/>
    <n v="0"/>
    <n v="0"/>
    <n v="0"/>
    <n v="0"/>
    <n v="0"/>
    <n v="0"/>
    <n v="0"/>
    <n v="0"/>
    <n v="0"/>
    <n v="0"/>
    <n v="0"/>
    <n v="0"/>
    <n v="0"/>
    <n v="0"/>
    <n v="0"/>
    <n v="0"/>
    <n v="0"/>
    <n v="0"/>
    <n v="0"/>
    <n v="0"/>
    <n v="0"/>
    <n v="0"/>
    <n v="0"/>
    <n v="0"/>
    <n v="0"/>
    <n v="0"/>
    <n v="0"/>
    <n v="0"/>
    <m/>
    <n v="4102"/>
    <n v="1638"/>
    <n v="888.7"/>
    <n v="363.96000000000004"/>
    <n v="81.385500000000008"/>
    <n v="1334.0455000000002"/>
    <n v="5436.0455000000002"/>
    <n v="2972.0455000000002"/>
    <n v="888.7"/>
    <n v="2"/>
    <n v="16"/>
    <n v="128"/>
    <n v="0"/>
    <n v="0"/>
    <n v="0"/>
    <n v="0"/>
    <n v="608"/>
    <n v="0"/>
    <n v="0"/>
    <n v="93.600000000000009"/>
    <n v="0"/>
    <n v="187.1"/>
    <n v="0"/>
  </r>
  <r>
    <s v="PCR-AVATAR"/>
    <m/>
    <m/>
    <m/>
    <m/>
    <m/>
    <m/>
    <m/>
    <m/>
    <m/>
    <m/>
    <m/>
    <e v="#NAME?"/>
    <x v="1"/>
    <m/>
    <m/>
    <x v="4"/>
    <s v="UAT"/>
    <m/>
    <m/>
    <m/>
    <s v="GR3 App Server"/>
    <s v="IBM WAS x86, CA APM, IBM HTTP x86"/>
    <s v="AP"/>
    <s v="CBOL"/>
    <s v="AP-CBOL"/>
    <m/>
    <s v="No"/>
    <m/>
    <m/>
    <m/>
    <m/>
    <m/>
    <m/>
    <s v="UAT-BLADE 8"/>
    <n v="1"/>
    <m/>
    <m/>
    <s v="BL620C G7"/>
    <s v="x86 Tier 3"/>
    <s v="x86"/>
    <m/>
    <s v="RHEL 5.9"/>
    <n v="2"/>
    <m/>
    <n v="16"/>
    <s v=""/>
    <n v="128"/>
    <m/>
    <m/>
    <m/>
    <m/>
    <m/>
    <m/>
    <m/>
    <m/>
    <m/>
    <m/>
    <m/>
    <m/>
    <m/>
    <m/>
    <n v="202.20000000000002"/>
    <n v="600"/>
    <x v="12"/>
    <m/>
    <x v="12"/>
    <m/>
    <m/>
    <x v="1"/>
    <n v="0"/>
    <m/>
    <n v="0"/>
    <m/>
    <m/>
    <n v="202.20000000000002"/>
    <n v="30.330000000000002"/>
    <m/>
    <m/>
    <m/>
    <m/>
    <m/>
    <m/>
    <m/>
    <m/>
    <m/>
    <m/>
    <s v="Websphere 8.5, IHS, Safenet, Oracle Client"/>
    <m/>
    <n v="0"/>
    <n v="1"/>
    <n v="0"/>
    <n v="0"/>
    <n v="0"/>
    <n v="0"/>
    <n v="0"/>
    <n v="0"/>
    <n v="0"/>
    <n v="16"/>
    <n v="0"/>
    <n v="0"/>
    <n v="16"/>
    <n v="0"/>
    <n v="0"/>
    <n v="0"/>
    <n v="0"/>
    <n v="0"/>
    <n v="0"/>
    <n v="0"/>
    <n v="0"/>
    <n v="0"/>
    <n v="0"/>
    <n v="0"/>
    <n v="0"/>
    <n v="0"/>
    <n v="0"/>
    <n v="0"/>
    <n v="0"/>
    <n v="0"/>
    <n v="0"/>
    <n v="0"/>
    <n v="0"/>
    <n v="0"/>
    <n v="0"/>
    <n v="0"/>
    <n v="0"/>
    <n v="0"/>
    <n v="0"/>
    <n v="0"/>
    <n v="0"/>
    <n v="0"/>
    <n v="0"/>
    <n v="0"/>
    <n v="0"/>
    <n v="0"/>
    <n v="0"/>
    <n v="0"/>
    <n v="0"/>
    <n v="0"/>
    <n v="0"/>
    <n v="0"/>
    <m/>
    <n v="0"/>
    <n v="0"/>
    <n v="888.7"/>
    <n v="363.96000000000004"/>
    <n v="81.385500000000008"/>
    <n v="1334.0455000000002"/>
    <n v="1334.0455000000002"/>
    <n v="1334.0455000000002"/>
    <n v="888.7"/>
    <n v="2"/>
    <n v="16"/>
    <n v="128"/>
    <n v="0"/>
    <n v="0"/>
    <n v="0"/>
    <n v="0"/>
    <n v="608"/>
    <n v="0"/>
    <n v="0"/>
    <n v="93.600000000000009"/>
    <n v="0"/>
    <n v="187.1"/>
    <n v="0"/>
  </r>
  <r>
    <s v="PCR-AVATAR"/>
    <m/>
    <m/>
    <m/>
    <m/>
    <m/>
    <m/>
    <m/>
    <m/>
    <m/>
    <m/>
    <m/>
    <e v="#NAME?"/>
    <x v="1"/>
    <m/>
    <m/>
    <x v="7"/>
    <s v="UAT"/>
    <m/>
    <m/>
    <m/>
    <s v="DB Server Cluster1"/>
    <s v="Oracle RAC x86"/>
    <s v="DB"/>
    <s v="CBOL"/>
    <s v="DB-CBOL"/>
    <m/>
    <s v="No"/>
    <m/>
    <m/>
    <m/>
    <m/>
    <m/>
    <m/>
    <s v="UAT-BLADE 9"/>
    <n v="1"/>
    <m/>
    <m/>
    <s v="BL620C G7"/>
    <s v="x86 Tier 3"/>
    <s v="x86"/>
    <m/>
    <s v="RHEL 5.9"/>
    <n v="2"/>
    <m/>
    <n v="16"/>
    <s v=""/>
    <n v="128"/>
    <m/>
    <m/>
    <m/>
    <m/>
    <m/>
    <m/>
    <m/>
    <m/>
    <m/>
    <m/>
    <m/>
    <m/>
    <m/>
    <m/>
    <n v="202.20000000000002"/>
    <n v="1650"/>
    <x v="17"/>
    <m/>
    <x v="17"/>
    <n v="1500"/>
    <m/>
    <x v="1"/>
    <n v="0"/>
    <m/>
    <n v="0"/>
    <m/>
    <m/>
    <n v="838.375"/>
    <n v="125.75624999999999"/>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2350.5750000000003"/>
    <n v="337.44593750000001"/>
    <n v="3576.7209375000007"/>
    <n v="4295.3309375000008"/>
    <n v="3702.5476041666675"/>
    <n v="888.7"/>
    <n v="2"/>
    <n v="16"/>
    <n v="128"/>
    <n v="0"/>
    <n v="0"/>
    <n v="0"/>
    <n v="0"/>
    <n v="608"/>
    <n v="0"/>
    <n v="0"/>
    <n v="93.600000000000009"/>
    <n v="0"/>
    <n v="187.1"/>
    <n v="0"/>
  </r>
  <r>
    <s v="PCR-AVATAR"/>
    <m/>
    <m/>
    <m/>
    <m/>
    <m/>
    <m/>
    <m/>
    <m/>
    <m/>
    <m/>
    <m/>
    <e v="#NAME?"/>
    <x v="1"/>
    <m/>
    <m/>
    <x v="7"/>
    <s v="UAT"/>
    <m/>
    <m/>
    <m/>
    <s v="DB Server Cluster1"/>
    <s v="Oracle RAC x86"/>
    <s v="DB"/>
    <s v="CBOL"/>
    <s v="DB-CBOL"/>
    <m/>
    <s v="No"/>
    <m/>
    <m/>
    <m/>
    <m/>
    <m/>
    <m/>
    <s v="UAT-BLADE 10"/>
    <n v="1"/>
    <m/>
    <m/>
    <s v="BL620C G7"/>
    <s v="x86 Tier 3"/>
    <s v="x86"/>
    <m/>
    <s v="RHEL 5.9"/>
    <n v="2"/>
    <m/>
    <n v="16"/>
    <s v=""/>
    <n v="128"/>
    <m/>
    <m/>
    <m/>
    <m/>
    <m/>
    <m/>
    <m/>
    <m/>
    <m/>
    <m/>
    <m/>
    <m/>
    <m/>
    <m/>
    <n v="202.20000000000002"/>
    <n v="150"/>
    <x v="18"/>
    <m/>
    <x v="18"/>
    <m/>
    <m/>
    <x v="1"/>
    <n v="0"/>
    <m/>
    <n v="0"/>
    <m/>
    <m/>
    <n v="92.675000000000011"/>
    <n v="13.90125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166.81500000000003"/>
    <n v="37.3016875"/>
    <n v="1092.8166875000002"/>
    <n v="1811.4266875000003"/>
    <n v="1218.6433541666668"/>
    <n v="888.7"/>
    <n v="2"/>
    <n v="16"/>
    <n v="128"/>
    <n v="0"/>
    <n v="0"/>
    <n v="0"/>
    <n v="0"/>
    <n v="608"/>
    <n v="0"/>
    <n v="0"/>
    <n v="93.600000000000009"/>
    <n v="0"/>
    <n v="187.1"/>
    <n v="0"/>
  </r>
  <r>
    <s v="PCR-AVATAR"/>
    <m/>
    <m/>
    <m/>
    <m/>
    <m/>
    <m/>
    <m/>
    <m/>
    <m/>
    <m/>
    <m/>
    <e v="#NAME?"/>
    <x v="0"/>
    <m/>
    <m/>
    <x v="7"/>
    <s v="UAT"/>
    <m/>
    <m/>
    <m/>
    <s v="Data Guard Cluster1"/>
    <s v="Oracle RAC x86"/>
    <s v="DB"/>
    <s v="CBOL"/>
    <s v="DB-CBOL"/>
    <m/>
    <s v="No"/>
    <m/>
    <m/>
    <m/>
    <m/>
    <m/>
    <m/>
    <s v="UAT-BLADE 11"/>
    <n v="1"/>
    <m/>
    <m/>
    <s v="BL620C G7"/>
    <s v="x86 Tier 3"/>
    <s v="x86"/>
    <m/>
    <s v="RHEL 5.9"/>
    <n v="2"/>
    <m/>
    <n v="16"/>
    <s v=""/>
    <n v="128"/>
    <m/>
    <m/>
    <m/>
    <m/>
    <m/>
    <m/>
    <m/>
    <m/>
    <m/>
    <m/>
    <m/>
    <m/>
    <m/>
    <m/>
    <n v="202.20000000000002"/>
    <n v="1650"/>
    <x v="17"/>
    <m/>
    <x v="17"/>
    <n v="1500"/>
    <m/>
    <x v="1"/>
    <n v="0"/>
    <m/>
    <n v="0"/>
    <m/>
    <m/>
    <n v="838.375"/>
    <n v="125.75624999999999"/>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2350.5750000000003"/>
    <n v="337.44593750000001"/>
    <n v="3576.7209375000007"/>
    <n v="4295.3309375000008"/>
    <n v="3702.5476041666675"/>
    <n v="888.7"/>
    <n v="2"/>
    <n v="16"/>
    <n v="128"/>
    <n v="0"/>
    <n v="0"/>
    <n v="0"/>
    <n v="0"/>
    <n v="608"/>
    <n v="0"/>
    <n v="0"/>
    <n v="93.600000000000009"/>
    <n v="0"/>
    <n v="187.1"/>
    <n v="0"/>
  </r>
  <r>
    <s v="PCR-AVATAR"/>
    <m/>
    <m/>
    <m/>
    <m/>
    <m/>
    <m/>
    <m/>
    <m/>
    <m/>
    <m/>
    <m/>
    <e v="#NAME?"/>
    <x v="0"/>
    <m/>
    <m/>
    <x v="7"/>
    <s v="UAT"/>
    <m/>
    <m/>
    <m/>
    <s v="Data Guard Cluster1"/>
    <s v="Oracle RAC x86"/>
    <s v="DB"/>
    <s v="CBOL"/>
    <s v="DB-CBOL"/>
    <m/>
    <s v="No"/>
    <m/>
    <m/>
    <m/>
    <m/>
    <m/>
    <m/>
    <s v="UAT-BLADE 12"/>
    <n v="1"/>
    <m/>
    <m/>
    <s v="BL620C G7"/>
    <s v="x86 Tier 3"/>
    <s v="x86"/>
    <m/>
    <s v="RHEL 5.9"/>
    <n v="2"/>
    <m/>
    <n v="16"/>
    <s v=""/>
    <n v="128"/>
    <m/>
    <m/>
    <m/>
    <m/>
    <m/>
    <m/>
    <m/>
    <m/>
    <m/>
    <m/>
    <m/>
    <m/>
    <m/>
    <m/>
    <n v="202.20000000000002"/>
    <n v="150"/>
    <x v="18"/>
    <m/>
    <x v="18"/>
    <m/>
    <m/>
    <x v="1"/>
    <n v="0"/>
    <m/>
    <n v="0"/>
    <m/>
    <m/>
    <n v="92.675000000000011"/>
    <n v="13.90125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166.81500000000003"/>
    <n v="37.3016875"/>
    <n v="1092.8166875000002"/>
    <n v="1811.4266875000003"/>
    <n v="1218.6433541666668"/>
    <n v="888.7"/>
    <n v="2"/>
    <n v="16"/>
    <n v="128"/>
    <n v="0"/>
    <n v="0"/>
    <n v="0"/>
    <n v="0"/>
    <n v="608"/>
    <n v="0"/>
    <n v="0"/>
    <n v="93.600000000000009"/>
    <n v="0"/>
    <n v="187.1"/>
    <n v="0"/>
  </r>
  <r>
    <s v="PCR-AVATAR"/>
    <m/>
    <m/>
    <m/>
    <m/>
    <m/>
    <m/>
    <m/>
    <m/>
    <m/>
    <m/>
    <m/>
    <e v="#NAME?"/>
    <x v="1"/>
    <m/>
    <m/>
    <x v="7"/>
    <s v="UAT"/>
    <m/>
    <m/>
    <m/>
    <s v="DB Server Cluster2"/>
    <s v="Oracle RAC x86"/>
    <s v="DB"/>
    <s v="CBOL"/>
    <s v="DB-CBOL"/>
    <m/>
    <s v="No"/>
    <m/>
    <m/>
    <m/>
    <m/>
    <m/>
    <m/>
    <s v="UAT-BLADE 13"/>
    <n v="1"/>
    <m/>
    <m/>
    <s v="BL620C G7"/>
    <s v="x86 Tier 3"/>
    <s v="x86"/>
    <m/>
    <s v="RHEL 5.9"/>
    <n v="2"/>
    <m/>
    <n v="16"/>
    <s v=""/>
    <n v="128"/>
    <m/>
    <m/>
    <m/>
    <m/>
    <m/>
    <m/>
    <m/>
    <m/>
    <m/>
    <m/>
    <m/>
    <m/>
    <m/>
    <m/>
    <n v="202.20000000000002"/>
    <n v="1650"/>
    <x v="17"/>
    <m/>
    <x v="17"/>
    <n v="1500"/>
    <m/>
    <x v="1"/>
    <n v="0"/>
    <m/>
    <n v="0"/>
    <m/>
    <m/>
    <n v="838.375"/>
    <n v="125.75624999999999"/>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2350.5750000000003"/>
    <n v="337.44593750000001"/>
    <n v="3576.7209375000007"/>
    <n v="4295.3309375000008"/>
    <n v="3702.5476041666675"/>
    <n v="888.7"/>
    <n v="2"/>
    <n v="16"/>
    <n v="128"/>
    <n v="0"/>
    <n v="0"/>
    <n v="0"/>
    <n v="0"/>
    <n v="608"/>
    <n v="0"/>
    <n v="0"/>
    <n v="93.600000000000009"/>
    <n v="0"/>
    <n v="187.1"/>
    <n v="0"/>
  </r>
  <r>
    <s v="PCR-AVATAR"/>
    <m/>
    <m/>
    <m/>
    <m/>
    <m/>
    <m/>
    <m/>
    <m/>
    <m/>
    <m/>
    <m/>
    <e v="#NAME?"/>
    <x v="1"/>
    <m/>
    <m/>
    <x v="7"/>
    <s v="UAT"/>
    <m/>
    <m/>
    <m/>
    <s v="DB Server Cluster2"/>
    <s v="Oracle RAC x86"/>
    <s v="DB"/>
    <s v="CBOL"/>
    <s v="DB-CBOL"/>
    <m/>
    <s v="No"/>
    <m/>
    <m/>
    <m/>
    <m/>
    <m/>
    <m/>
    <s v="UAT-BLADE 14"/>
    <n v="1"/>
    <m/>
    <m/>
    <s v="BL620C G7"/>
    <s v="x86 Tier 3"/>
    <s v="x86"/>
    <m/>
    <s v="RHEL 5.9"/>
    <n v="2"/>
    <m/>
    <n v="16"/>
    <s v=""/>
    <n v="128"/>
    <m/>
    <m/>
    <m/>
    <m/>
    <m/>
    <m/>
    <m/>
    <m/>
    <m/>
    <m/>
    <m/>
    <m/>
    <m/>
    <m/>
    <n v="202.20000000000002"/>
    <n v="150"/>
    <x v="18"/>
    <m/>
    <x v="18"/>
    <m/>
    <m/>
    <x v="1"/>
    <n v="0"/>
    <m/>
    <n v="0"/>
    <m/>
    <m/>
    <n v="92.675000000000011"/>
    <n v="13.90125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166.81500000000003"/>
    <n v="37.3016875"/>
    <n v="1092.8166875000002"/>
    <n v="1811.4266875000003"/>
    <n v="1218.6433541666668"/>
    <n v="888.7"/>
    <n v="2"/>
    <n v="16"/>
    <n v="128"/>
    <n v="0"/>
    <n v="0"/>
    <n v="0"/>
    <n v="0"/>
    <n v="608"/>
    <n v="0"/>
    <n v="0"/>
    <n v="93.600000000000009"/>
    <n v="0"/>
    <n v="187.1"/>
    <n v="0"/>
  </r>
  <r>
    <s v="PCR-AVATAR"/>
    <m/>
    <m/>
    <m/>
    <m/>
    <m/>
    <m/>
    <m/>
    <m/>
    <m/>
    <m/>
    <m/>
    <e v="#NAME?"/>
    <x v="0"/>
    <m/>
    <m/>
    <x v="7"/>
    <s v="UAT"/>
    <m/>
    <m/>
    <m/>
    <s v="Data Guard Cluster2"/>
    <s v="Oracle RAC x86"/>
    <s v="DB"/>
    <s v="CBOL"/>
    <s v="DB-CBOL"/>
    <m/>
    <s v="No"/>
    <m/>
    <m/>
    <m/>
    <m/>
    <m/>
    <m/>
    <s v="UAT-BLADE 15"/>
    <n v="1"/>
    <m/>
    <m/>
    <s v="BL620C G7"/>
    <s v="x86 Tier 3"/>
    <s v="x86"/>
    <m/>
    <s v="RHEL 5.9"/>
    <n v="2"/>
    <m/>
    <n v="16"/>
    <m/>
    <n v="128"/>
    <m/>
    <m/>
    <m/>
    <m/>
    <m/>
    <m/>
    <m/>
    <m/>
    <m/>
    <m/>
    <m/>
    <m/>
    <m/>
    <m/>
    <n v="202.20000000000002"/>
    <n v="1650"/>
    <x v="17"/>
    <m/>
    <x v="17"/>
    <n v="1500"/>
    <m/>
    <x v="1"/>
    <n v="0"/>
    <m/>
    <n v="0"/>
    <m/>
    <m/>
    <n v="838.375"/>
    <n v="125.75624999999999"/>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2350.5750000000003"/>
    <n v="337.44593750000001"/>
    <n v="3576.7209375000007"/>
    <n v="4295.3309375000008"/>
    <n v="3702.5476041666675"/>
    <n v="888.7"/>
    <n v="2"/>
    <n v="16"/>
    <n v="128"/>
    <n v="0"/>
    <n v="0"/>
    <n v="0"/>
    <n v="0"/>
    <n v="608"/>
    <n v="0"/>
    <n v="0"/>
    <n v="93.600000000000009"/>
    <n v="0"/>
    <n v="187.1"/>
    <n v="0"/>
  </r>
  <r>
    <s v="PCR-AVATAR"/>
    <m/>
    <m/>
    <m/>
    <m/>
    <m/>
    <m/>
    <m/>
    <m/>
    <m/>
    <m/>
    <m/>
    <e v="#NAME?"/>
    <x v="0"/>
    <m/>
    <m/>
    <x v="7"/>
    <s v="UAT"/>
    <m/>
    <m/>
    <m/>
    <s v="Data Guard Cluster2"/>
    <s v="Oracle RAC x86"/>
    <s v="DB"/>
    <s v="CBOL"/>
    <s v="DB-CBOL"/>
    <m/>
    <s v="No"/>
    <m/>
    <m/>
    <m/>
    <m/>
    <m/>
    <m/>
    <s v="UAT-BLADE 16"/>
    <n v="1"/>
    <m/>
    <m/>
    <s v="BL620C G7"/>
    <s v="x86 Tier 3"/>
    <s v="x86"/>
    <m/>
    <s v="RHEL 5.9"/>
    <n v="2"/>
    <m/>
    <n v="16"/>
    <m/>
    <n v="128"/>
    <m/>
    <m/>
    <m/>
    <m/>
    <m/>
    <m/>
    <m/>
    <m/>
    <m/>
    <m/>
    <m/>
    <m/>
    <m/>
    <m/>
    <n v="202.20000000000002"/>
    <n v="150"/>
    <x v="18"/>
    <m/>
    <x v="18"/>
    <m/>
    <m/>
    <x v="1"/>
    <n v="0"/>
    <m/>
    <n v="0"/>
    <m/>
    <m/>
    <n v="92.675000000000011"/>
    <n v="13.901250000000001"/>
    <m/>
    <m/>
    <m/>
    <m/>
    <m/>
    <m/>
    <m/>
    <m/>
    <m/>
    <m/>
    <m/>
    <m/>
    <n v="0"/>
    <n v="0"/>
    <n v="0"/>
    <n v="0"/>
    <n v="0"/>
    <n v="0"/>
    <n v="0"/>
    <n v="0"/>
    <n v="0"/>
    <n v="0"/>
    <n v="0"/>
    <n v="0"/>
    <n v="0"/>
    <n v="0"/>
    <n v="0"/>
    <n v="0"/>
    <n v="0"/>
    <n v="0"/>
    <n v="0"/>
    <n v="0"/>
    <n v="0"/>
    <n v="0"/>
    <n v="0"/>
    <n v="0"/>
    <n v="0"/>
    <n v="0"/>
    <n v="0"/>
    <n v="0"/>
    <n v="0"/>
    <n v="0"/>
    <n v="0"/>
    <n v="0"/>
    <n v="0"/>
    <n v="0"/>
    <n v="0"/>
    <n v="0"/>
    <n v="16"/>
    <n v="0"/>
    <n v="0"/>
    <n v="0"/>
    <n v="0"/>
    <n v="0"/>
    <n v="0"/>
    <n v="0"/>
    <n v="0"/>
    <n v="0"/>
    <n v="0"/>
    <n v="0"/>
    <n v="0"/>
    <n v="0"/>
    <n v="0"/>
    <n v="0"/>
    <m/>
    <n v="718.61"/>
    <n v="125.82666666666667"/>
    <n v="888.7"/>
    <n v="166.81500000000003"/>
    <n v="37.3016875"/>
    <n v="1092.8166875000002"/>
    <n v="1811.4266875000003"/>
    <n v="1218.6433541666668"/>
    <n v="888.7"/>
    <n v="2"/>
    <n v="16"/>
    <n v="128"/>
    <n v="0"/>
    <n v="0"/>
    <n v="0"/>
    <n v="0"/>
    <n v="608"/>
    <n v="0"/>
    <n v="0"/>
    <n v="93.600000000000009"/>
    <n v="0"/>
    <n v="187.1"/>
    <n v="0"/>
  </r>
  <r>
    <s v="PCR-AVATAR"/>
    <m/>
    <m/>
    <m/>
    <m/>
    <m/>
    <m/>
    <m/>
    <m/>
    <m/>
    <m/>
    <m/>
    <e v="#NAME?"/>
    <x v="1"/>
    <m/>
    <m/>
    <x v="7"/>
    <s v="UAT"/>
    <m/>
    <m/>
    <m/>
    <s v="CitiAlert Server"/>
    <s v="java, MQ7, NDM"/>
    <s v="AP"/>
    <s v="CBOL"/>
    <s v="AP-CBOL"/>
    <m/>
    <s v="No"/>
    <m/>
    <m/>
    <m/>
    <m/>
    <m/>
    <m/>
    <s v="UAT-New LPAR 1"/>
    <n v="1"/>
    <m/>
    <m/>
    <s v="IBM p7 p795"/>
    <s v="IBM P-Series Tier 2"/>
    <s v="pSeries"/>
    <m/>
    <s v="AIX 6.1"/>
    <m/>
    <m/>
    <n v="1"/>
    <m/>
    <n v="32"/>
    <m/>
    <m/>
    <m/>
    <m/>
    <m/>
    <m/>
    <m/>
    <m/>
    <m/>
    <m/>
    <m/>
    <m/>
    <m/>
    <m/>
    <n v="0"/>
    <n v="600"/>
    <x v="19"/>
    <m/>
    <x v="19"/>
    <n v="500"/>
    <m/>
    <x v="1"/>
    <n v="0"/>
    <m/>
    <n v="0"/>
    <m/>
    <m/>
    <n v="276.64999999999998"/>
    <n v="41.497499999999995"/>
    <m/>
    <m/>
    <m/>
    <m/>
    <m/>
    <m/>
    <m/>
    <m/>
    <m/>
    <m/>
    <s v="CPU/memory  sharing with COB "/>
    <m/>
    <n v="0"/>
    <n v="0"/>
    <n v="0"/>
    <n v="0"/>
    <n v="0"/>
    <n v="0"/>
    <n v="0"/>
    <n v="0"/>
    <n v="0"/>
    <n v="0"/>
    <n v="0"/>
    <n v="0"/>
    <n v="0"/>
    <n v="0"/>
    <n v="0"/>
    <n v="0"/>
    <n v="0"/>
    <n v="0"/>
    <n v="0"/>
    <n v="0"/>
    <n v="0"/>
    <n v="0"/>
    <n v="0"/>
    <n v="0"/>
    <n v="0"/>
    <n v="0"/>
    <n v="0"/>
    <n v="0"/>
    <n v="0"/>
    <n v="0"/>
    <n v="0"/>
    <n v="0"/>
    <n v="0"/>
    <n v="0"/>
    <n v="0"/>
    <n v="0"/>
    <n v="0"/>
    <n v="0"/>
    <n v="0"/>
    <n v="0"/>
    <n v="0"/>
    <n v="0"/>
    <n v="0"/>
    <n v="0"/>
    <n v="0"/>
    <n v="0"/>
    <n v="0"/>
    <n v="0"/>
    <n v="0"/>
    <n v="0"/>
    <n v="0"/>
    <n v="0"/>
    <m/>
    <n v="0"/>
    <n v="0"/>
    <n v="187.1"/>
    <n v="778.47"/>
    <n v="111.35162499999998"/>
    <n v="1076.9216249999999"/>
    <n v="1076.9216249999999"/>
    <n v="1076.9216249999999"/>
    <n v="187.1"/>
    <n v="0"/>
    <n v="1"/>
    <n v="32"/>
    <n v="0"/>
    <n v="0"/>
    <n v="0"/>
    <n v="0"/>
    <n v="0"/>
    <n v="0"/>
    <n v="0"/>
    <n v="0"/>
    <n v="0"/>
    <n v="187.1"/>
    <n v="0"/>
  </r>
  <r>
    <s v="PCR-AVATAR"/>
    <m/>
    <m/>
    <m/>
    <m/>
    <m/>
    <m/>
    <m/>
    <m/>
    <m/>
    <m/>
    <m/>
    <e v="#NAME?"/>
    <x v="1"/>
    <m/>
    <m/>
    <x v="7"/>
    <s v="UAT"/>
    <m/>
    <m/>
    <m/>
    <s v="CitiAlert Server"/>
    <s v="java, MQ7, NDM"/>
    <s v="AP"/>
    <s v="CBOL"/>
    <s v="AP-CBOL"/>
    <m/>
    <s v="No"/>
    <m/>
    <m/>
    <m/>
    <m/>
    <m/>
    <m/>
    <s v="UAT-New LPAR 2"/>
    <n v="1"/>
    <m/>
    <m/>
    <s v="IBM p7 p795"/>
    <s v="IBM P-Series Tier 2"/>
    <s v="pSeries"/>
    <m/>
    <s v="AIX 6.1"/>
    <m/>
    <m/>
    <n v="1"/>
    <m/>
    <n v="32"/>
    <m/>
    <m/>
    <m/>
    <m/>
    <m/>
    <m/>
    <m/>
    <m/>
    <m/>
    <m/>
    <m/>
    <m/>
    <m/>
    <m/>
    <n v="0"/>
    <n v="100"/>
    <x v="3"/>
    <m/>
    <x v="3"/>
    <m/>
    <m/>
    <x v="1"/>
    <n v="0"/>
    <m/>
    <n v="0"/>
    <m/>
    <m/>
    <n v="25.275000000000002"/>
    <n v="3.7912500000000002"/>
    <m/>
    <m/>
    <m/>
    <m/>
    <m/>
    <m/>
    <m/>
    <m/>
    <m/>
    <m/>
    <s v="CPU/memory  sharing with COB "/>
    <m/>
    <n v="0"/>
    <n v="0"/>
    <n v="0"/>
    <n v="0"/>
    <n v="0"/>
    <n v="0"/>
    <n v="0"/>
    <n v="0"/>
    <n v="0"/>
    <n v="0"/>
    <n v="0"/>
    <n v="0"/>
    <n v="0"/>
    <n v="0"/>
    <n v="0"/>
    <n v="0"/>
    <n v="0"/>
    <n v="0"/>
    <n v="0"/>
    <n v="0"/>
    <n v="0"/>
    <n v="0"/>
    <n v="0"/>
    <n v="0"/>
    <n v="0"/>
    <n v="0"/>
    <n v="0"/>
    <n v="0"/>
    <n v="0"/>
    <n v="0"/>
    <n v="0"/>
    <n v="0"/>
    <n v="0"/>
    <n v="0"/>
    <n v="0"/>
    <n v="0"/>
    <n v="0"/>
    <n v="0"/>
    <n v="0"/>
    <n v="0"/>
    <n v="0"/>
    <n v="0"/>
    <n v="0"/>
    <n v="0"/>
    <n v="0"/>
    <n v="0"/>
    <n v="0"/>
    <n v="0"/>
    <n v="0"/>
    <n v="0"/>
    <n v="0"/>
    <n v="0"/>
    <m/>
    <n v="0"/>
    <n v="0"/>
    <n v="187.1"/>
    <n v="45.495000000000005"/>
    <n v="10.173187500000001"/>
    <n v="242.76818750000001"/>
    <n v="242.76818750000001"/>
    <n v="242.76818750000001"/>
    <n v="187.1"/>
    <n v="0"/>
    <n v="1"/>
    <n v="32"/>
    <n v="0"/>
    <n v="0"/>
    <n v="0"/>
    <n v="0"/>
    <n v="0"/>
    <n v="0"/>
    <n v="0"/>
    <n v="0"/>
    <n v="0"/>
    <n v="187.1"/>
    <n v="0"/>
  </r>
  <r>
    <s v="PCR-AVATAR"/>
    <m/>
    <m/>
    <m/>
    <m/>
    <m/>
    <m/>
    <m/>
    <m/>
    <m/>
    <m/>
    <m/>
    <e v="#NAME?"/>
    <x v="1"/>
    <m/>
    <m/>
    <x v="7"/>
    <s v="UAT"/>
    <m/>
    <m/>
    <m/>
    <s v="ESTMT"/>
    <s v="Websphere7, NDM, ODWEK, MQ, IHS"/>
    <s v="AP"/>
    <s v="CBOL"/>
    <s v="AP-CBOL"/>
    <m/>
    <s v="Yes - Outside this BoM"/>
    <m/>
    <m/>
    <m/>
    <s v="a"/>
    <m/>
    <m/>
    <s v="rdcgcgestaa01u"/>
    <n v="1"/>
    <m/>
    <m/>
    <s v="IBM p7 p795"/>
    <s v="IBM P-Series Tier 2"/>
    <s v="pSeries"/>
    <m/>
    <s v="AIX 6.1"/>
    <m/>
    <m/>
    <n v="1"/>
    <m/>
    <n v="16"/>
    <m/>
    <m/>
    <m/>
    <m/>
    <m/>
    <m/>
    <m/>
    <m/>
    <m/>
    <m/>
    <m/>
    <m/>
    <m/>
    <m/>
    <n v="0"/>
    <n v="60"/>
    <x v="0"/>
    <m/>
    <x v="0"/>
    <m/>
    <m/>
    <x v="1"/>
    <n v="0"/>
    <m/>
    <n v="0"/>
    <m/>
    <m/>
    <n v="16.850000000000001"/>
    <n v="2.5275000000000003"/>
    <m/>
    <m/>
    <m/>
    <m/>
    <m/>
    <m/>
    <m/>
    <m/>
    <m/>
    <m/>
    <s v="CPU/memory  sharing with COB "/>
    <m/>
    <n v="0"/>
    <n v="0"/>
    <n v="0"/>
    <n v="0"/>
    <n v="0"/>
    <n v="0"/>
    <n v="0"/>
    <n v="0"/>
    <n v="0"/>
    <n v="0"/>
    <n v="0"/>
    <n v="0"/>
    <n v="0"/>
    <n v="0"/>
    <n v="0"/>
    <n v="0"/>
    <n v="0"/>
    <n v="0"/>
    <n v="0"/>
    <n v="0"/>
    <n v="0"/>
    <n v="0"/>
    <n v="0"/>
    <n v="0"/>
    <n v="0"/>
    <n v="0"/>
    <n v="0"/>
    <n v="0"/>
    <n v="0"/>
    <n v="0"/>
    <n v="0"/>
    <n v="0"/>
    <n v="0"/>
    <n v="0"/>
    <n v="0"/>
    <n v="0"/>
    <n v="0"/>
    <n v="0"/>
    <n v="0"/>
    <n v="0"/>
    <n v="0"/>
    <n v="0"/>
    <n v="0"/>
    <n v="0"/>
    <n v="0"/>
    <n v="0"/>
    <n v="0"/>
    <n v="0"/>
    <n v="0"/>
    <n v="0"/>
    <n v="0"/>
    <n v="0"/>
    <m/>
    <n v="0"/>
    <n v="0"/>
    <n v="0"/>
    <n v="30.330000000000002"/>
    <n v="6.7821249999999997"/>
    <n v="37.112124999999999"/>
    <n v="37.112124999999999"/>
    <n v="37.112124999999999"/>
    <n v="0"/>
    <n v="0"/>
    <n v="1"/>
    <n v="16"/>
    <n v="0"/>
    <n v="0"/>
    <n v="0"/>
    <n v="0"/>
    <n v="0"/>
    <n v="0"/>
    <n v="0"/>
    <n v="0"/>
    <n v="0"/>
    <n v="0"/>
    <n v="0"/>
  </r>
  <r>
    <s v="PCR-AVATAR"/>
    <m/>
    <m/>
    <m/>
    <m/>
    <m/>
    <m/>
    <m/>
    <m/>
    <m/>
    <m/>
    <m/>
    <e v="#NAME?"/>
    <x v="2"/>
    <m/>
    <m/>
    <x v="8"/>
    <s v="SIT"/>
    <m/>
    <m/>
    <m/>
    <s v="Web Server"/>
    <s v="IBM HTTP Server, WAS Plugin"/>
    <s v="WW"/>
    <s v="CBOL"/>
    <s v="WW-CBOL"/>
    <m/>
    <s v="No"/>
    <m/>
    <m/>
    <m/>
    <m/>
    <m/>
    <m/>
    <s v="SIT-BLADE 1"/>
    <n v="1"/>
    <m/>
    <m/>
    <s v="BL620C G7"/>
    <s v="x86 Tier 3"/>
    <s v="x86"/>
    <m/>
    <s v="RHEL 5.9"/>
    <n v="2"/>
    <m/>
    <n v="16"/>
    <s v=""/>
    <n v="128"/>
    <m/>
    <m/>
    <m/>
    <m/>
    <m/>
    <m/>
    <m/>
    <m/>
    <m/>
    <m/>
    <m/>
    <m/>
    <m/>
    <m/>
    <n v="202.20000000000002"/>
    <n v="700"/>
    <x v="11"/>
    <m/>
    <x v="11"/>
    <m/>
    <m/>
    <x v="1"/>
    <n v="0"/>
    <m/>
    <n v="0"/>
    <m/>
    <m/>
    <n v="227.47500000000002"/>
    <n v="34.121250000000003"/>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n v="0"/>
    <n v="0"/>
    <n v="888.7"/>
    <n v="409.45500000000004"/>
    <n v="91.558687500000019"/>
    <n v="1389.7136875000001"/>
    <n v="1389.7136875000001"/>
    <n v="1389.7136875000001"/>
    <n v="888.7"/>
    <n v="2"/>
    <n v="16"/>
    <n v="128"/>
    <n v="0"/>
    <n v="0"/>
    <n v="0"/>
    <n v="0"/>
    <n v="608"/>
    <n v="0"/>
    <n v="0"/>
    <n v="93.600000000000009"/>
    <n v="0"/>
    <n v="187.1"/>
    <n v="0"/>
  </r>
  <r>
    <s v="PCR-AVATAR"/>
    <m/>
    <m/>
    <m/>
    <m/>
    <m/>
    <m/>
    <m/>
    <m/>
    <m/>
    <m/>
    <m/>
    <e v="#NAME?"/>
    <x v="2"/>
    <m/>
    <m/>
    <x v="5"/>
    <s v="SIT"/>
    <m/>
    <m/>
    <m/>
    <s v="GR1 App Server"/>
    <s v="IBM WAS x86, CA APM, IBM HTTP x86"/>
    <s v="AP"/>
    <s v="CBOL"/>
    <s v="AP-CBOL"/>
    <m/>
    <s v="No"/>
    <m/>
    <m/>
    <m/>
    <m/>
    <m/>
    <m/>
    <s v="SIT-BLADE 2"/>
    <n v="1"/>
    <m/>
    <m/>
    <s v="BL620C G7"/>
    <s v="x86 Tier 3"/>
    <s v="x86"/>
    <m/>
    <s v="RHEL 5.9"/>
    <n v="2"/>
    <m/>
    <n v="16"/>
    <s v=""/>
    <n v="128"/>
    <m/>
    <m/>
    <m/>
    <m/>
    <m/>
    <m/>
    <m/>
    <m/>
    <m/>
    <m/>
    <m/>
    <m/>
    <m/>
    <m/>
    <n v="202.20000000000002"/>
    <n v="600"/>
    <x v="12"/>
    <m/>
    <x v="12"/>
    <m/>
    <m/>
    <x v="1"/>
    <n v="0"/>
    <m/>
    <n v="0"/>
    <m/>
    <m/>
    <n v="202.20000000000002"/>
    <n v="30.330000000000002"/>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888.7"/>
    <n v="363.96000000000004"/>
    <n v="81.385500000000008"/>
    <n v="1334.0455000000002"/>
    <n v="1334.0455000000002"/>
    <n v="1334.0455000000002"/>
    <n v="888.7"/>
    <n v="2"/>
    <n v="16"/>
    <n v="128"/>
    <n v="0"/>
    <n v="0"/>
    <n v="0"/>
    <n v="0"/>
    <n v="608"/>
    <n v="0"/>
    <n v="0"/>
    <n v="93.600000000000009"/>
    <n v="0"/>
    <n v="187.1"/>
    <n v="0"/>
  </r>
  <r>
    <s v="PCR-AVATAR"/>
    <m/>
    <m/>
    <m/>
    <m/>
    <m/>
    <m/>
    <m/>
    <m/>
    <m/>
    <m/>
    <m/>
    <e v="#NAME?"/>
    <x v="2"/>
    <m/>
    <m/>
    <x v="5"/>
    <s v="SIT"/>
    <m/>
    <m/>
    <m/>
    <s v="GR2 App Server"/>
    <s v="IBM WAS x86, CA APM, IBM HTTP x86"/>
    <s v="AP"/>
    <s v="CBOL"/>
    <s v="AP-CBOL"/>
    <m/>
    <s v="No"/>
    <m/>
    <m/>
    <m/>
    <m/>
    <m/>
    <m/>
    <s v="SIT-BLADE 3"/>
    <n v="1"/>
    <m/>
    <m/>
    <s v="BL620C G7"/>
    <s v="x86 Tier 3"/>
    <s v="x86"/>
    <m/>
    <s v="RHEL 5.9"/>
    <n v="2"/>
    <m/>
    <n v="16"/>
    <s v=""/>
    <n v="128"/>
    <m/>
    <m/>
    <m/>
    <m/>
    <m/>
    <m/>
    <m/>
    <m/>
    <m/>
    <m/>
    <m/>
    <m/>
    <m/>
    <m/>
    <n v="202.20000000000002"/>
    <n v="600"/>
    <x v="12"/>
    <m/>
    <x v="12"/>
    <m/>
    <m/>
    <x v="1"/>
    <n v="0"/>
    <m/>
    <n v="0"/>
    <m/>
    <m/>
    <n v="202.20000000000002"/>
    <n v="30.330000000000002"/>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m/>
    <m/>
    <n v="888.7"/>
    <n v="363.96000000000004"/>
    <n v="81.385500000000008"/>
    <n v="1334.0455000000002"/>
    <n v="1334.0455000000002"/>
    <n v="1334.0455000000002"/>
    <n v="888.7"/>
    <n v="2"/>
    <n v="16"/>
    <n v="128"/>
    <n v="0"/>
    <n v="0"/>
    <n v="0"/>
    <n v="0"/>
    <n v="608"/>
    <n v="0"/>
    <n v="0"/>
    <n v="93.600000000000009"/>
    <n v="0"/>
    <n v="187.1"/>
    <n v="0"/>
  </r>
  <r>
    <s v="PCR-AVATAR"/>
    <m/>
    <m/>
    <m/>
    <m/>
    <m/>
    <m/>
    <m/>
    <m/>
    <m/>
    <m/>
    <m/>
    <e v="#NAME?"/>
    <x v="2"/>
    <m/>
    <m/>
    <x v="9"/>
    <s v="DIT"/>
    <m/>
    <m/>
    <m/>
    <s v="GR1 App Server"/>
    <s v="IBM WAS x86, CA APM, IBM HTTP x86"/>
    <s v="AP"/>
    <s v="CBOL"/>
    <s v="AP-CBOL"/>
    <m/>
    <s v="No"/>
    <m/>
    <m/>
    <m/>
    <m/>
    <m/>
    <m/>
    <s v="SIT-BLADE 4"/>
    <n v="1"/>
    <m/>
    <m/>
    <s v="BL620C G7"/>
    <s v="x86 Tier 3"/>
    <s v="x86"/>
    <m/>
    <s v="RHEL 5.9"/>
    <n v="2"/>
    <m/>
    <n v="16"/>
    <s v=""/>
    <n v="128"/>
    <m/>
    <m/>
    <m/>
    <m/>
    <m/>
    <m/>
    <m/>
    <m/>
    <m/>
    <m/>
    <m/>
    <m/>
    <m/>
    <m/>
    <n v="202.20000000000002"/>
    <n v="800"/>
    <x v="20"/>
    <m/>
    <x v="20"/>
    <m/>
    <m/>
    <x v="1"/>
    <n v="0"/>
    <m/>
    <n v="0"/>
    <m/>
    <m/>
    <n v="252.75000000000003"/>
    <n v="37.912500000000001"/>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n v="0"/>
    <n v="0"/>
    <n v="888.7"/>
    <n v="454.95000000000005"/>
    <n v="101.731875"/>
    <n v="1445.381875"/>
    <n v="1445.381875"/>
    <n v="1445.381875"/>
    <n v="888.7"/>
    <n v="2"/>
    <n v="16"/>
    <n v="128"/>
    <n v="0"/>
    <n v="0"/>
    <n v="0"/>
    <n v="0"/>
    <n v="608"/>
    <n v="0"/>
    <n v="0"/>
    <n v="93.600000000000009"/>
    <n v="0"/>
    <n v="187.1"/>
    <n v="0"/>
  </r>
  <r>
    <s v="PCR-AVATAR"/>
    <m/>
    <m/>
    <m/>
    <m/>
    <m/>
    <m/>
    <m/>
    <m/>
    <m/>
    <m/>
    <m/>
    <e v="#NAME?"/>
    <x v="2"/>
    <m/>
    <m/>
    <x v="9"/>
    <s v="DIT"/>
    <m/>
    <m/>
    <m/>
    <s v="GR2 App Server"/>
    <s v="IBM WAS x86, CA APM, IBM HTTP x86"/>
    <s v="AP"/>
    <s v="CBOL"/>
    <s v="AP-CBOL"/>
    <m/>
    <s v="No"/>
    <m/>
    <m/>
    <m/>
    <m/>
    <m/>
    <m/>
    <s v="SIT-BLADE 5"/>
    <n v="1"/>
    <m/>
    <m/>
    <s v="BL620C G7"/>
    <s v="x86 Tier 3"/>
    <s v="x86"/>
    <m/>
    <s v="RHEL 5.9"/>
    <n v="2"/>
    <m/>
    <n v="16"/>
    <s v=""/>
    <n v="128"/>
    <m/>
    <m/>
    <m/>
    <m/>
    <m/>
    <m/>
    <m/>
    <m/>
    <m/>
    <m/>
    <m/>
    <m/>
    <m/>
    <m/>
    <n v="202.20000000000002"/>
    <n v="800"/>
    <x v="20"/>
    <m/>
    <x v="20"/>
    <m/>
    <m/>
    <x v="1"/>
    <n v="0"/>
    <m/>
    <n v="0"/>
    <m/>
    <m/>
    <n v="252.75000000000003"/>
    <n v="37.912500000000001"/>
    <m/>
    <m/>
    <m/>
    <m/>
    <m/>
    <m/>
    <m/>
    <m/>
    <m/>
    <m/>
    <m/>
    <m/>
    <n v="0"/>
    <n v="1"/>
    <n v="0"/>
    <n v="0"/>
    <n v="0"/>
    <n v="0"/>
    <n v="0"/>
    <n v="0"/>
    <n v="0"/>
    <n v="16"/>
    <n v="0"/>
    <n v="0"/>
    <n v="16"/>
    <n v="0"/>
    <n v="0"/>
    <n v="0"/>
    <n v="0"/>
    <n v="0"/>
    <n v="0"/>
    <n v="0"/>
    <n v="0"/>
    <n v="0"/>
    <n v="0"/>
    <n v="0"/>
    <n v="0"/>
    <n v="0"/>
    <n v="0"/>
    <n v="0"/>
    <n v="0"/>
    <n v="0"/>
    <n v="0"/>
    <n v="0"/>
    <n v="0"/>
    <n v="0"/>
    <n v="0"/>
    <n v="0"/>
    <n v="0"/>
    <n v="0"/>
    <n v="0"/>
    <n v="0"/>
    <n v="0"/>
    <n v="0"/>
    <n v="0"/>
    <n v="0"/>
    <n v="0"/>
    <n v="0"/>
    <n v="0"/>
    <n v="0"/>
    <n v="0"/>
    <n v="0"/>
    <n v="0"/>
    <n v="0"/>
    <m/>
    <n v="0"/>
    <n v="0"/>
    <n v="888.7"/>
    <n v="454.95000000000005"/>
    <n v="101.731875"/>
    <n v="1445.381875"/>
    <n v="1445.381875"/>
    <n v="1445.381875"/>
    <n v="888.7"/>
    <n v="2"/>
    <n v="16"/>
    <n v="128"/>
    <n v="0"/>
    <n v="0"/>
    <n v="0"/>
    <n v="0"/>
    <n v="608"/>
    <n v="0"/>
    <n v="0"/>
    <n v="93.600000000000009"/>
    <n v="0"/>
    <n v="187.1"/>
    <n v="0"/>
  </r>
  <r>
    <s v="PCR-AVATAR"/>
    <m/>
    <m/>
    <m/>
    <m/>
    <m/>
    <m/>
    <m/>
    <m/>
    <m/>
    <m/>
    <m/>
    <e v="#NAME?"/>
    <x v="2"/>
    <m/>
    <m/>
    <x v="5"/>
    <s v="SIT"/>
    <m/>
    <m/>
    <m/>
    <s v="DB Server"/>
    <s v="Oracle 11G, AWR"/>
    <s v="DB"/>
    <s v="CBOL"/>
    <s v="DB-CBOL"/>
    <m/>
    <s v="No"/>
    <m/>
    <m/>
    <m/>
    <m/>
    <m/>
    <m/>
    <s v="SIT-BLADE 6"/>
    <n v="1"/>
    <m/>
    <m/>
    <s v="BL620C G7"/>
    <s v="x86 Tier 3"/>
    <s v="x86"/>
    <m/>
    <s v="RHEL 5.9"/>
    <n v="2"/>
    <m/>
    <n v="16"/>
    <m/>
    <n v="128"/>
    <m/>
    <m/>
    <m/>
    <m/>
    <m/>
    <m/>
    <m/>
    <m/>
    <m/>
    <m/>
    <m/>
    <m/>
    <m/>
    <m/>
    <n v="202.20000000000002"/>
    <n v="1500"/>
    <x v="21"/>
    <m/>
    <x v="21"/>
    <m/>
    <m/>
    <x v="1"/>
    <n v="0"/>
    <m/>
    <n v="0"/>
    <m/>
    <m/>
    <n v="429.67500000000007"/>
    <n v="64.451250000000002"/>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888.7"/>
    <n v="773.41500000000019"/>
    <n v="172.94418750000003"/>
    <n v="1835.0591875000002"/>
    <n v="1835.0591875000002"/>
    <n v="1835.0591875000002"/>
    <n v="888.7"/>
    <n v="2"/>
    <n v="16"/>
    <n v="128"/>
    <n v="0"/>
    <n v="0"/>
    <n v="0"/>
    <n v="0"/>
    <n v="608"/>
    <n v="0"/>
    <n v="0"/>
    <n v="93.600000000000009"/>
    <n v="0"/>
    <n v="187.1"/>
    <n v="0"/>
  </r>
  <r>
    <s v="PCR-AVATAR"/>
    <m/>
    <m/>
    <m/>
    <m/>
    <m/>
    <m/>
    <m/>
    <m/>
    <m/>
    <m/>
    <m/>
    <e v="#NAME?"/>
    <x v="2"/>
    <m/>
    <m/>
    <x v="5"/>
    <s v="SIT"/>
    <m/>
    <m/>
    <m/>
    <s v="CitiAlert Server"/>
    <s v="java, MQ7, NDM"/>
    <s v="DB"/>
    <s v="CBOL"/>
    <s v="DB-CBOL"/>
    <m/>
    <s v="No"/>
    <m/>
    <m/>
    <m/>
    <m/>
    <m/>
    <m/>
    <s v="SIT-New LPAR 1"/>
    <n v="1"/>
    <m/>
    <m/>
    <s v="IBM p7 p795"/>
    <s v="IBM P-Series Tier 2"/>
    <s v="pSeries"/>
    <m/>
    <s v="AIX 6.1"/>
    <n v="1"/>
    <m/>
    <n v="1"/>
    <m/>
    <n v="32"/>
    <m/>
    <m/>
    <m/>
    <m/>
    <m/>
    <m/>
    <m/>
    <m/>
    <m/>
    <m/>
    <m/>
    <m/>
    <m/>
    <m/>
    <n v="0"/>
    <n v="600"/>
    <x v="19"/>
    <m/>
    <x v="19"/>
    <m/>
    <m/>
    <x v="1"/>
    <n v="0"/>
    <m/>
    <n v="0"/>
    <m/>
    <m/>
    <n v="151.65"/>
    <n v="22.747499999999999"/>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1160.0999999999999"/>
    <n v="272.97000000000003"/>
    <n v="61.039124999999999"/>
    <n v="1494.1091249999999"/>
    <n v="1494.1091249999999"/>
    <n v="1494.1091249999999"/>
    <n v="1160.0999999999999"/>
    <n v="1"/>
    <n v="1"/>
    <n v="32"/>
    <n v="0"/>
    <n v="0"/>
    <n v="0"/>
    <n v="0"/>
    <n v="829"/>
    <n v="0"/>
    <n v="0"/>
    <n v="144"/>
    <n v="0"/>
    <n v="187.1"/>
    <n v="0"/>
  </r>
  <r>
    <s v="PCR-AVATAR"/>
    <m/>
    <m/>
    <m/>
    <m/>
    <m/>
    <m/>
    <m/>
    <m/>
    <m/>
    <m/>
    <m/>
    <e v="#NAME?"/>
    <x v="2"/>
    <m/>
    <m/>
    <x v="8"/>
    <s v="SIT"/>
    <m/>
    <m/>
    <m/>
    <s v="ESTMT"/>
    <s v="Websphere7, NDM, ODWEK, MQ, IHS"/>
    <s v="DB"/>
    <s v="CBOL"/>
    <s v="DB-CBOL"/>
    <m/>
    <s v="No"/>
    <m/>
    <m/>
    <m/>
    <m/>
    <m/>
    <m/>
    <s v="rndodws"/>
    <n v="1"/>
    <m/>
    <m/>
    <s v="IBM p7 p795"/>
    <s v="IBM P-Series Tier 2"/>
    <s v="pSeries"/>
    <m/>
    <s v="AIX 6.1"/>
    <n v="1"/>
    <m/>
    <n v="2"/>
    <m/>
    <n v="32"/>
    <m/>
    <m/>
    <m/>
    <m/>
    <m/>
    <m/>
    <m/>
    <m/>
    <m/>
    <m/>
    <m/>
    <m/>
    <m/>
    <m/>
    <n v="0"/>
    <n v="600"/>
    <x v="19"/>
    <m/>
    <x v="19"/>
    <m/>
    <m/>
    <x v="1"/>
    <n v="0"/>
    <m/>
    <n v="0"/>
    <m/>
    <m/>
    <n v="151.65"/>
    <n v="22.747499999999999"/>
    <m/>
    <m/>
    <m/>
    <m/>
    <m/>
    <m/>
    <m/>
    <m/>
    <m/>
    <m/>
    <s v="Websphere7, NDM, ODWEK, MQ, IHS"/>
    <m/>
    <n v="0"/>
    <n v="0"/>
    <n v="0"/>
    <n v="0"/>
    <n v="0"/>
    <n v="0"/>
    <n v="0"/>
    <n v="0"/>
    <n v="0"/>
    <n v="0"/>
    <n v="0"/>
    <n v="0"/>
    <n v="0"/>
    <n v="0"/>
    <n v="0"/>
    <n v="0"/>
    <n v="0"/>
    <n v="0"/>
    <n v="0"/>
    <n v="0"/>
    <n v="0"/>
    <n v="0"/>
    <n v="0"/>
    <n v="0"/>
    <n v="0"/>
    <n v="0"/>
    <n v="0"/>
    <n v="0"/>
    <n v="0"/>
    <n v="0"/>
    <n v="0"/>
    <n v="0"/>
    <n v="0"/>
    <n v="0"/>
    <n v="0"/>
    <n v="0"/>
    <n v="0"/>
    <n v="0"/>
    <n v="0"/>
    <n v="0"/>
    <n v="0"/>
    <n v="0"/>
    <n v="0"/>
    <n v="0"/>
    <n v="0"/>
    <n v="0"/>
    <n v="0"/>
    <n v="0"/>
    <n v="0"/>
    <n v="0"/>
    <n v="0"/>
    <n v="0"/>
    <m/>
    <n v="512.75"/>
    <n v="204.75"/>
    <n v="1160.0999999999999"/>
    <n v="272.97000000000003"/>
    <n v="61.039124999999999"/>
    <n v="1494.1091249999999"/>
    <n v="2006.8591249999999"/>
    <n v="1698.8591249999999"/>
    <n v="1160.0999999999999"/>
    <n v="1"/>
    <n v="2"/>
    <n v="32"/>
    <n v="0"/>
    <n v="0"/>
    <n v="0"/>
    <n v="0"/>
    <n v="829"/>
    <n v="0"/>
    <n v="0"/>
    <n v="144"/>
    <n v="0"/>
    <n v="187.1"/>
    <n v="0"/>
  </r>
  <r>
    <s v="PCR-AVATAR"/>
    <m/>
    <m/>
    <m/>
    <m/>
    <m/>
    <m/>
    <m/>
    <m/>
    <m/>
    <m/>
    <m/>
    <e v="#NAME?"/>
    <x v="0"/>
    <m/>
    <m/>
    <x v="1"/>
    <s v="PROD"/>
    <m/>
    <m/>
    <m/>
    <s v="HSM"/>
    <m/>
    <m/>
    <s v="CBOL"/>
    <s v="-CBOL"/>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1"/>
    <s v="PROD"/>
    <m/>
    <m/>
    <m/>
    <s v="HSM"/>
    <m/>
    <m/>
    <s v="CBOL"/>
    <s v="-CBOL"/>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6"/>
    <s v="PROD"/>
    <m/>
    <m/>
    <m/>
    <s v="HSM"/>
    <m/>
    <m/>
    <s v="CBOL"/>
    <s v="-CBOL"/>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6"/>
    <s v="PROD"/>
    <m/>
    <m/>
    <m/>
    <s v="HSM"/>
    <m/>
    <m/>
    <s v="CBOL"/>
    <s v="-CBOL"/>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4"/>
    <s v="UAT"/>
    <m/>
    <m/>
    <m/>
    <s v="HSM"/>
    <m/>
    <m/>
    <s v="CBOL"/>
    <s v="-CBOL"/>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4"/>
    <s v="UAT"/>
    <m/>
    <m/>
    <m/>
    <s v="HSM"/>
    <m/>
    <m/>
    <s v="CBOL"/>
    <s v="-CBOL"/>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2"/>
    <m/>
    <m/>
    <x v="5"/>
    <s v="SIT"/>
    <m/>
    <m/>
    <m/>
    <s v="HSM"/>
    <m/>
    <m/>
    <s v="CBOL"/>
    <s v="-CBOL"/>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1"/>
    <s v="PROD"/>
    <m/>
    <m/>
    <m/>
    <s v="HSM"/>
    <m/>
    <m/>
    <s v="ESB"/>
    <s v="-ESB"/>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0"/>
    <m/>
    <m/>
    <x v="1"/>
    <s v="PROD"/>
    <m/>
    <m/>
    <m/>
    <s v="HSM"/>
    <m/>
    <m/>
    <s v="ESB"/>
    <s v="-ESB"/>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4"/>
    <s v="UAT"/>
    <m/>
    <m/>
    <m/>
    <s v="HSM"/>
    <m/>
    <m/>
    <s v="ESB"/>
    <s v="-ESB"/>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4"/>
    <s v="UAT"/>
    <m/>
    <m/>
    <m/>
    <s v="HSM"/>
    <m/>
    <m/>
    <s v="ESB"/>
    <s v="-ESB"/>
    <m/>
    <s v="No"/>
    <m/>
    <m/>
    <m/>
    <m/>
    <m/>
    <m/>
    <m/>
    <n v="0"/>
    <m/>
    <m/>
    <m/>
    <s v=""/>
    <s v=""/>
    <m/>
    <m/>
    <m/>
    <m/>
    <m/>
    <s v=""/>
    <m/>
    <m/>
    <m/>
    <m/>
    <m/>
    <m/>
    <m/>
    <m/>
    <m/>
    <m/>
    <m/>
    <m/>
    <m/>
    <m/>
    <m/>
    <n v="0"/>
    <m/>
    <x v="4"/>
    <m/>
    <x v="4"/>
    <m/>
    <m/>
    <x v="1"/>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m/>
    <m/>
    <m/>
    <m/>
    <m/>
    <m/>
    <m/>
    <m/>
    <m/>
    <m/>
    <m/>
    <m/>
    <e v="#NAME?"/>
    <x v="3"/>
    <m/>
    <m/>
    <x v="10"/>
    <s v=""/>
    <m/>
    <m/>
    <m/>
    <m/>
    <m/>
    <m/>
    <m/>
    <s v=""/>
    <m/>
    <m/>
    <m/>
    <m/>
    <m/>
    <m/>
    <m/>
    <m/>
    <m/>
    <n v="0"/>
    <m/>
    <m/>
    <m/>
    <s v=""/>
    <s v=""/>
    <m/>
    <m/>
    <m/>
    <m/>
    <m/>
    <s v=""/>
    <m/>
    <m/>
    <m/>
    <m/>
    <m/>
    <m/>
    <m/>
    <m/>
    <m/>
    <m/>
    <m/>
    <m/>
    <m/>
    <m/>
    <m/>
    <n v="0"/>
    <m/>
    <x v="4"/>
    <m/>
    <x v="4"/>
    <m/>
    <m/>
    <x v="2"/>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PCR-AVATAR"/>
    <m/>
    <m/>
    <m/>
    <m/>
    <m/>
    <m/>
    <m/>
    <m/>
    <m/>
    <m/>
    <m/>
    <e v="#NAME?"/>
    <x v="1"/>
    <m/>
    <m/>
    <x v="3"/>
    <s v="COB"/>
    <m/>
    <m/>
    <m/>
    <s v="CitiAlert Server"/>
    <s v="java, MQ7, NDM"/>
    <s v="AP"/>
    <s v="CBOL"/>
    <s v="AP-CBOL"/>
    <m/>
    <s v="No"/>
    <m/>
    <m/>
    <m/>
    <m/>
    <m/>
    <m/>
    <s v="cob-New LPAR 1"/>
    <n v="1"/>
    <m/>
    <m/>
    <s v="IBM p7 p795"/>
    <s v="IBM P-Series Tier 2"/>
    <s v="pSeries"/>
    <m/>
    <s v="AIX 6.1"/>
    <n v="1"/>
    <m/>
    <n v="1"/>
    <n v="16"/>
    <n v="48"/>
    <m/>
    <m/>
    <m/>
    <m/>
    <m/>
    <m/>
    <m/>
    <m/>
    <m/>
    <m/>
    <m/>
    <m/>
    <m/>
    <m/>
    <n v="0"/>
    <m/>
    <x v="4"/>
    <m/>
    <x v="4"/>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1304.0999999999999"/>
    <n v="0"/>
    <n v="0"/>
    <n v="1304.0999999999999"/>
    <n v="1304.0999999999999"/>
    <n v="1304.0999999999999"/>
    <n v="1304.0999999999999"/>
    <n v="1"/>
    <n v="1"/>
    <n v="48"/>
    <n v="0"/>
    <n v="0"/>
    <n v="0"/>
    <n v="0"/>
    <n v="829"/>
    <n v="0"/>
    <n v="0"/>
    <n v="288"/>
    <n v="0"/>
    <n v="187.1"/>
    <n v="0"/>
  </r>
  <r>
    <s v="PCR-AVATAR"/>
    <m/>
    <m/>
    <m/>
    <m/>
    <m/>
    <m/>
    <m/>
    <m/>
    <m/>
    <m/>
    <m/>
    <e v="#NAME?"/>
    <x v="1"/>
    <m/>
    <m/>
    <x v="3"/>
    <s v="COB"/>
    <m/>
    <m/>
    <m/>
    <s v="CitiAlert Server"/>
    <s v="java, MQ7, NDM"/>
    <s v="AP"/>
    <s v="CBOL"/>
    <s v="AP-CBOL"/>
    <m/>
    <s v="No"/>
    <m/>
    <m/>
    <m/>
    <m/>
    <m/>
    <m/>
    <s v="cob-New LPAR 2"/>
    <n v="1"/>
    <m/>
    <m/>
    <s v="IBM p7 p795"/>
    <s v="IBM P-Series Tier 2"/>
    <s v="pSeries"/>
    <m/>
    <s v="AIX 6.1"/>
    <n v="1"/>
    <m/>
    <n v="1"/>
    <n v="16"/>
    <n v="48"/>
    <m/>
    <m/>
    <m/>
    <m/>
    <m/>
    <m/>
    <m/>
    <m/>
    <m/>
    <m/>
    <m/>
    <m/>
    <m/>
    <m/>
    <n v="0"/>
    <m/>
    <x v="4"/>
    <m/>
    <x v="4"/>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1304.0999999999999"/>
    <n v="0"/>
    <n v="0"/>
    <n v="1304.0999999999999"/>
    <n v="1304.0999999999999"/>
    <n v="1304.0999999999999"/>
    <n v="1304.0999999999999"/>
    <n v="1"/>
    <n v="1"/>
    <n v="48"/>
    <n v="0"/>
    <n v="0"/>
    <n v="0"/>
    <n v="0"/>
    <n v="829"/>
    <n v="0"/>
    <n v="0"/>
    <n v="288"/>
    <n v="0"/>
    <n v="187.1"/>
    <n v="0"/>
  </r>
  <r>
    <s v="PCR-AVATAR"/>
    <m/>
    <m/>
    <m/>
    <m/>
    <m/>
    <m/>
    <m/>
    <m/>
    <m/>
    <m/>
    <m/>
    <e v="#NAME?"/>
    <x v="1"/>
    <m/>
    <m/>
    <x v="3"/>
    <s v="COB"/>
    <m/>
    <m/>
    <m/>
    <s v="ESTMT"/>
    <s v="Websphere7, NDM, ODWEK, MQ, IHS"/>
    <s v="AP"/>
    <s v="CBOL"/>
    <s v="AP-CBOL"/>
    <m/>
    <s v="Yes - Outside this BoM"/>
    <m/>
    <m/>
    <m/>
    <m/>
    <m/>
    <m/>
    <s v="rdcgcgestaa01c"/>
    <n v="1"/>
    <m/>
    <m/>
    <s v="IBM p7 p795"/>
    <s v="IBM P-Series Tier 2"/>
    <s v="pSeries"/>
    <m/>
    <s v="AIX 6.1"/>
    <n v="1"/>
    <m/>
    <n v="2"/>
    <n v="16"/>
    <n v="16"/>
    <m/>
    <m/>
    <m/>
    <m/>
    <m/>
    <m/>
    <m/>
    <m/>
    <m/>
    <m/>
    <m/>
    <m/>
    <m/>
    <m/>
    <n v="0"/>
    <m/>
    <x v="4"/>
    <m/>
    <x v="4"/>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829"/>
    <n v="0"/>
    <n v="0"/>
    <n v="829"/>
    <n v="829"/>
    <n v="829"/>
    <n v="829"/>
    <n v="1"/>
    <n v="2"/>
    <n v="16"/>
    <n v="0"/>
    <n v="0"/>
    <n v="0"/>
    <n v="0"/>
    <n v="829"/>
    <n v="0"/>
    <n v="0"/>
    <n v="0"/>
    <n v="0"/>
    <n v="0"/>
    <n v="0"/>
  </r>
  <r>
    <s v="PCR-AVATAR"/>
    <m/>
    <m/>
    <m/>
    <m/>
    <m/>
    <m/>
    <m/>
    <m/>
    <m/>
    <m/>
    <m/>
    <e v="#NAME?"/>
    <x v="1"/>
    <m/>
    <m/>
    <x v="3"/>
    <s v="COB"/>
    <m/>
    <m/>
    <m/>
    <s v="ESTMT"/>
    <s v="Websphere7, NDM, ODWEK, MQ, IHS"/>
    <s v="AP"/>
    <s v="CBOL"/>
    <s v="AP-CBOL"/>
    <m/>
    <s v="Yes - Outside this BoM"/>
    <m/>
    <m/>
    <m/>
    <m/>
    <m/>
    <m/>
    <s v="rdcgcgestaa02c"/>
    <n v="1"/>
    <m/>
    <m/>
    <s v="IBM p7 p795"/>
    <s v="IBM P-Series Tier 2"/>
    <s v="pSeries"/>
    <m/>
    <s v="AIX 6.1"/>
    <n v="1"/>
    <m/>
    <n v="2"/>
    <n v="16"/>
    <n v="16"/>
    <m/>
    <m/>
    <m/>
    <m/>
    <m/>
    <m/>
    <m/>
    <m/>
    <m/>
    <m/>
    <m/>
    <m/>
    <m/>
    <m/>
    <n v="0"/>
    <m/>
    <x v="4"/>
    <m/>
    <x v="4"/>
    <m/>
    <m/>
    <x v="0"/>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829"/>
    <n v="0"/>
    <n v="0"/>
    <n v="829"/>
    <n v="829"/>
    <n v="829"/>
    <n v="829"/>
    <n v="1"/>
    <n v="2"/>
    <n v="16"/>
    <n v="0"/>
    <n v="0"/>
    <n v="0"/>
    <n v="0"/>
    <n v="829"/>
    <n v="0"/>
    <n v="0"/>
    <n v="0"/>
    <n v="0"/>
    <n v="0"/>
    <n v="0"/>
  </r>
  <r>
    <m/>
    <m/>
    <m/>
    <m/>
    <m/>
    <m/>
    <m/>
    <m/>
    <m/>
    <m/>
    <m/>
    <m/>
    <e v="#NAME?"/>
    <x v="3"/>
    <m/>
    <m/>
    <x v="10"/>
    <s v=""/>
    <m/>
    <m/>
    <m/>
    <m/>
    <m/>
    <m/>
    <m/>
    <s v=""/>
    <m/>
    <m/>
    <m/>
    <m/>
    <m/>
    <m/>
    <m/>
    <m/>
    <m/>
    <n v="0"/>
    <m/>
    <m/>
    <m/>
    <s v=""/>
    <s v=""/>
    <m/>
    <m/>
    <m/>
    <m/>
    <m/>
    <s v=""/>
    <m/>
    <m/>
    <m/>
    <m/>
    <m/>
    <m/>
    <m/>
    <m/>
    <m/>
    <m/>
    <m/>
    <m/>
    <m/>
    <m/>
    <m/>
    <n v="0"/>
    <m/>
    <x v="4"/>
    <m/>
    <x v="4"/>
    <m/>
    <m/>
    <x v="2"/>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m/>
    <m/>
    <m/>
    <m/>
    <m/>
    <m/>
    <m/>
    <m/>
    <m/>
    <m/>
    <m/>
    <m/>
    <e v="#NAME?"/>
    <x v="3"/>
    <m/>
    <m/>
    <x v="10"/>
    <s v=""/>
    <m/>
    <m/>
    <m/>
    <m/>
    <m/>
    <m/>
    <m/>
    <s v=""/>
    <m/>
    <m/>
    <m/>
    <m/>
    <m/>
    <m/>
    <m/>
    <m/>
    <m/>
    <n v="0"/>
    <m/>
    <m/>
    <m/>
    <s v=""/>
    <s v=""/>
    <m/>
    <m/>
    <m/>
    <m/>
    <m/>
    <s v=""/>
    <m/>
    <m/>
    <m/>
    <m/>
    <m/>
    <m/>
    <m/>
    <m/>
    <m/>
    <m/>
    <m/>
    <m/>
    <m/>
    <m/>
    <m/>
    <n v="0"/>
    <m/>
    <x v="4"/>
    <m/>
    <x v="4"/>
    <m/>
    <m/>
    <x v="2"/>
    <n v="0"/>
    <m/>
    <n v="0"/>
    <m/>
    <m/>
    <n v="0"/>
    <n v="0"/>
    <m/>
    <m/>
    <m/>
    <m/>
    <m/>
    <m/>
    <m/>
    <m/>
    <m/>
    <m/>
    <m/>
    <m/>
    <n v="0"/>
    <n v="0"/>
    <n v="0"/>
    <n v="0"/>
    <n v="0"/>
    <n v="0"/>
    <n v="0"/>
    <n v="0"/>
    <n v="0"/>
    <n v="0"/>
    <n v="0"/>
    <n v="0"/>
    <n v="0"/>
    <n v="0"/>
    <n v="0"/>
    <n v="0"/>
    <n v="0"/>
    <n v="0"/>
    <n v="0"/>
    <n v="0"/>
    <n v="0"/>
    <n v="0"/>
    <n v="0"/>
    <n v="0"/>
    <n v="0"/>
    <n v="0"/>
    <n v="0"/>
    <n v="0"/>
    <n v="0"/>
    <n v="0"/>
    <n v="0"/>
    <n v="0"/>
    <n v="0"/>
    <n v="0"/>
    <n v="0"/>
    <n v="0"/>
    <n v="0"/>
    <n v="0"/>
    <n v="0"/>
    <n v="0"/>
    <n v="0"/>
    <n v="0"/>
    <n v="0"/>
    <n v="0"/>
    <n v="0"/>
    <n v="0"/>
    <n v="0"/>
    <n v="0"/>
    <n v="0"/>
    <n v="0"/>
    <n v="0"/>
    <n v="0"/>
    <m/>
    <m/>
    <m/>
    <n v="0"/>
    <n v="0"/>
    <n v="0"/>
    <n v="0"/>
    <n v="0"/>
    <n v="0"/>
    <n v="0"/>
    <n v="0"/>
    <n v="0"/>
    <n v="0"/>
    <n v="0"/>
    <n v="0"/>
    <n v="0"/>
    <n v="0"/>
    <n v="0"/>
    <n v="0"/>
    <n v="0"/>
    <n v="0"/>
    <n v="0"/>
    <n v="0"/>
    <n v="0"/>
  </r>
  <r>
    <s v="NOTE: DO NOT DELETE THIS ROW"/>
    <m/>
    <m/>
    <m/>
    <m/>
    <m/>
    <m/>
    <m/>
    <m/>
    <m/>
    <m/>
    <m/>
    <m/>
    <x v="3"/>
    <m/>
    <m/>
    <x v="10"/>
    <m/>
    <m/>
    <m/>
    <m/>
    <m/>
    <m/>
    <m/>
    <m/>
    <m/>
    <m/>
    <m/>
    <m/>
    <m/>
    <m/>
    <m/>
    <m/>
    <m/>
    <n v="153"/>
    <m/>
    <m/>
    <m/>
    <m/>
    <m/>
    <m/>
    <m/>
    <m/>
    <n v="162"/>
    <m/>
    <n v="1206"/>
    <m/>
    <n v="14992"/>
    <m/>
    <m/>
    <m/>
    <m/>
    <m/>
    <m/>
    <m/>
    <m/>
    <m/>
    <m/>
    <m/>
    <m/>
    <m/>
    <m/>
    <m/>
    <m/>
    <x v="22"/>
    <n v="0"/>
    <x v="22"/>
    <m/>
    <m/>
    <x v="2"/>
    <m/>
    <m/>
    <n v="0"/>
    <n v="0"/>
    <m/>
    <n v="21648.950000000008"/>
    <n v="3247.3424999999997"/>
    <m/>
    <m/>
    <m/>
    <m/>
    <m/>
    <m/>
    <m/>
    <m/>
    <n v="0"/>
    <n v="0"/>
    <m/>
    <m/>
    <n v="0"/>
    <n v="52"/>
    <n v="0"/>
    <n v="0"/>
    <n v="0"/>
    <n v="0"/>
    <n v="0"/>
    <n v="0"/>
    <n v="0"/>
    <n v="384"/>
    <n v="0"/>
    <n v="0"/>
    <n v="320"/>
    <n v="0"/>
    <n v="0"/>
    <n v="0"/>
    <n v="0"/>
    <n v="0"/>
    <n v="0"/>
    <n v="0"/>
    <n v="0"/>
    <n v="0"/>
    <n v="0"/>
    <n v="0"/>
    <n v="0"/>
    <n v="0"/>
    <n v="0"/>
    <n v="0"/>
    <n v="0"/>
    <n v="0"/>
    <n v="0"/>
    <n v="0"/>
    <n v="0"/>
    <n v="0"/>
    <n v="0"/>
    <n v="4"/>
    <n v="256"/>
    <n v="0"/>
    <n v="0"/>
    <n v="0"/>
    <n v="0"/>
    <n v="0"/>
    <n v="0"/>
    <n v="0"/>
    <n v="0"/>
    <n v="0"/>
    <n v="0"/>
    <n v="0"/>
    <n v="384"/>
    <n v="128"/>
    <n v="0"/>
    <n v="16"/>
    <m/>
    <n v="51569.664200000007"/>
    <n v="10870.861866666663"/>
    <n v="86412.199999999953"/>
    <n v="56539.838000000018"/>
    <n v="8713.7023749999971"/>
    <n v="151665.74037500002"/>
    <n v="203235.40457500023"/>
    <n v="162536.60224166675"/>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r>
    <m/>
    <m/>
    <m/>
    <m/>
    <m/>
    <m/>
    <m/>
    <m/>
    <m/>
    <m/>
    <m/>
    <m/>
    <m/>
    <x v="3"/>
    <m/>
    <m/>
    <x v="10"/>
    <m/>
    <m/>
    <m/>
    <m/>
    <m/>
    <m/>
    <m/>
    <m/>
    <m/>
    <m/>
    <m/>
    <m/>
    <m/>
    <m/>
    <m/>
    <m/>
    <m/>
    <m/>
    <m/>
    <m/>
    <m/>
    <m/>
    <m/>
    <m/>
    <m/>
    <m/>
    <m/>
    <m/>
    <m/>
    <m/>
    <m/>
    <m/>
    <m/>
    <m/>
    <m/>
    <m/>
    <m/>
    <m/>
    <m/>
    <m/>
    <m/>
    <m/>
    <m/>
    <m/>
    <m/>
    <m/>
    <m/>
    <x v="7"/>
    <m/>
    <x v="7"/>
    <m/>
    <m/>
    <x v="2"/>
    <m/>
    <m/>
    <m/>
    <m/>
    <m/>
    <m/>
    <m/>
    <m/>
    <m/>
    <m/>
    <m/>
    <m/>
    <m/>
    <m/>
    <m/>
    <m/>
    <m/>
    <m/>
    <m/>
    <m/>
    <m/>
    <m/>
    <m/>
    <m/>
    <m/>
    <m/>
    <m/>
    <m/>
    <m/>
    <m/>
    <m/>
    <m/>
    <m/>
    <m/>
    <m/>
    <m/>
    <m/>
    <m/>
    <m/>
    <m/>
    <m/>
    <m/>
    <m/>
    <m/>
    <m/>
    <m/>
    <m/>
    <m/>
    <m/>
    <m/>
    <m/>
    <m/>
    <m/>
    <m/>
    <m/>
    <m/>
    <m/>
    <m/>
    <m/>
    <m/>
    <m/>
    <m/>
    <m/>
    <m/>
    <m/>
    <m/>
    <m/>
    <m/>
    <m/>
    <m/>
    <m/>
    <m/>
    <m/>
    <m/>
    <m/>
    <m/>
    <m/>
    <m/>
    <m/>
    <m/>
    <m/>
    <m/>
    <m/>
    <m/>
    <m/>
    <m/>
    <m/>
    <m/>
    <m/>
    <m/>
    <m/>
    <m/>
    <m/>
    <m/>
    <m/>
  </r>
</pivotCacheRecords>
</file>

<file path=xl/pivotCache/pivotCacheRecords2.xml><?xml version="1.0" encoding="utf-8"?>
<pivotCacheRecords xmlns="http://schemas.openxmlformats.org/spreadsheetml/2006/main" xmlns:r="http://schemas.openxmlformats.org/officeDocument/2006/relationships" count="30">
  <r>
    <x v="0"/>
    <x v="0"/>
    <s v="Web Server"/>
    <s v="BLADE 1"/>
    <s v="Linux"/>
    <n v="1"/>
    <n v="4"/>
    <n v="16"/>
    <n v="300"/>
    <m/>
    <s v="IBM HTTP Server, WAS Plugin"/>
  </r>
  <r>
    <x v="0"/>
    <x v="1"/>
    <s v="Web Server"/>
    <s v="BLADE 2"/>
    <s v="Linux"/>
    <n v="1"/>
    <n v="4"/>
    <n v="16"/>
    <n v="300"/>
    <m/>
    <s v="IBM HTTP Server, WAS Plugin"/>
  </r>
  <r>
    <x v="0"/>
    <x v="0"/>
    <s v="PL App Server"/>
    <s v="BLADE 3"/>
    <s v="Linux"/>
    <n v="1"/>
    <n v="12"/>
    <n v="100"/>
    <n v="500"/>
    <m/>
    <s v="Websphere 8.5, IHS, Safenet, Oracle Client"/>
  </r>
  <r>
    <x v="0"/>
    <x v="1"/>
    <s v="PL App Server"/>
    <s v="BLADE 4"/>
    <s v="Linux"/>
    <n v="1"/>
    <n v="12"/>
    <n v="100"/>
    <n v="500"/>
    <m/>
    <s v="Websphere 8.5, IHS, Safenet, Oracle Client"/>
  </r>
  <r>
    <x v="0"/>
    <x v="0"/>
    <s v="PL App Server"/>
    <s v="BLADE 5"/>
    <s v="Linux"/>
    <n v="1"/>
    <n v="12"/>
    <n v="100"/>
    <n v="500"/>
    <m/>
    <s v="Websphere 8.5, IHS, Safenet, Oracle Client"/>
  </r>
  <r>
    <x v="0"/>
    <x v="1"/>
    <s v="PL App Server"/>
    <s v="BLADE 6"/>
    <s v="Linux"/>
    <n v="1"/>
    <n v="12"/>
    <n v="100"/>
    <n v="500"/>
    <m/>
    <s v="Websphere 8.5, IHS, Safenet, Oracle Client"/>
  </r>
  <r>
    <x v="0"/>
    <x v="0"/>
    <s v="DB Server Cluster1"/>
    <s v="BLADE 13"/>
    <s v="Linux"/>
    <n v="1"/>
    <n v="4"/>
    <n v="16"/>
    <n v="100"/>
    <n v="800"/>
    <s v="Oracle 11G, AWR"/>
  </r>
  <r>
    <x v="0"/>
    <x v="0"/>
    <s v="DB Server Cluster1"/>
    <s v="BLADE 14"/>
    <s v="Linux"/>
    <n v="1"/>
    <n v="4"/>
    <n v="16"/>
    <n v="100"/>
    <m/>
    <s v="Oracle 11G, AWR"/>
  </r>
  <r>
    <x v="0"/>
    <x v="1"/>
    <s v="Data Guard Cluster1"/>
    <s v="BLADE 15"/>
    <s v="Linux"/>
    <n v="1"/>
    <n v="4"/>
    <n v="16"/>
    <n v="100"/>
    <n v="800"/>
    <s v="Oracle 11G, AWR"/>
  </r>
  <r>
    <x v="0"/>
    <x v="1"/>
    <s v="Data Guard Cluster1"/>
    <s v="BLADE 16"/>
    <s v="Linux"/>
    <n v="1"/>
    <n v="4"/>
    <n v="16"/>
    <n v="100"/>
    <m/>
    <s v="Oracle 11G, AWR"/>
  </r>
  <r>
    <x v="0"/>
    <x v="0"/>
    <s v="CitiAlert Server"/>
    <s v="New LPAR 1"/>
    <s v="AIX"/>
    <n v="1"/>
    <n v="1"/>
    <n v="16"/>
    <n v="100"/>
    <n v="300"/>
    <s v="java, MQ7, NDM"/>
  </r>
  <r>
    <x v="0"/>
    <x v="0"/>
    <s v="CitiAlert Server"/>
    <s v="New LPAR 2"/>
    <s v="AIX"/>
    <n v="1"/>
    <n v="1"/>
    <n v="16"/>
    <n v="100"/>
    <m/>
    <s v="java, MQ7, NDM"/>
  </r>
  <r>
    <x v="0"/>
    <x v="0"/>
    <s v="ESTMT"/>
    <s v="fdcgcgestaa01p"/>
    <s v="AIX"/>
    <n v="1"/>
    <n v="1"/>
    <n v="8"/>
    <n v="33"/>
    <m/>
    <s v="Websphere7, NDM, ODWEK, MQ, IHS"/>
  </r>
  <r>
    <x v="0"/>
    <x v="0"/>
    <s v="ESTMT"/>
    <s v="fdcgcgestaa02p"/>
    <s v="AIX"/>
    <n v="1"/>
    <n v="1"/>
    <n v="8"/>
    <n v="33"/>
    <m/>
    <s v="Websphere7, NDM, ODWEK, MQ, IHS"/>
  </r>
  <r>
    <x v="0"/>
    <x v="1"/>
    <s v="CitiAlert Server"/>
    <s v="New LPAR 1"/>
    <s v="AIX"/>
    <n v="1"/>
    <n v="1"/>
    <n v="16"/>
    <n v="100"/>
    <n v="300"/>
    <s v="java, MQ7, NDM"/>
  </r>
  <r>
    <x v="0"/>
    <x v="1"/>
    <s v="CitiAlert Server"/>
    <s v="New LPAR 2"/>
    <s v="AIX"/>
    <n v="1"/>
    <n v="1"/>
    <n v="16"/>
    <n v="100"/>
    <m/>
    <s v="java, MQ7, NDM"/>
  </r>
  <r>
    <x v="0"/>
    <x v="1"/>
    <s v="ESTMT"/>
    <s v="rdcgcgestaa01c"/>
    <s v="AIX"/>
    <n v="1"/>
    <n v="1"/>
    <n v="8"/>
    <n v="33"/>
    <m/>
    <s v="Websphere7, NDM, ODWEK, MQ, IHS"/>
  </r>
  <r>
    <x v="0"/>
    <x v="1"/>
    <s v="ESTMT"/>
    <s v="rdcgcgestaa02c"/>
    <s v="AIX"/>
    <n v="1"/>
    <n v="1"/>
    <n v="8"/>
    <n v="33"/>
    <m/>
    <s v="Websphere7, NDM, ODWEK, MQ, IHS"/>
  </r>
  <r>
    <x v="1"/>
    <x v="0"/>
    <s v="Web Server"/>
    <s v="BLADE 1"/>
    <s v="Linux"/>
    <n v="1"/>
    <n v="4"/>
    <n v="16"/>
    <n v="200"/>
    <m/>
    <s v="IBM HTTP Server, WAS Plugin"/>
  </r>
  <r>
    <x v="1"/>
    <x v="1"/>
    <s v="Web Server"/>
    <s v="BLADE 2"/>
    <s v="Linux"/>
    <n v="1"/>
    <n v="4"/>
    <n v="16"/>
    <n v="200"/>
    <m/>
    <s v="IBM HTTP Server, WAS Plugin"/>
  </r>
  <r>
    <x v="1"/>
    <x v="0"/>
    <s v="GR1 App Server"/>
    <s v="BLADE 3"/>
    <s v="Linux"/>
    <n v="1"/>
    <n v="8"/>
    <n v="32"/>
    <n v="400"/>
    <m/>
    <s v="Websphere 8.5, IHS, Safenet, Oracle Client"/>
  </r>
  <r>
    <x v="1"/>
    <x v="1"/>
    <s v="GR1 App Server"/>
    <s v="BLADE 4"/>
    <s v="Linux"/>
    <n v="1"/>
    <n v="8"/>
    <n v="32"/>
    <n v="400"/>
    <m/>
    <s v="Websphere 8.5, IHS, Safenet, Oracle Client"/>
  </r>
  <r>
    <x v="1"/>
    <x v="1"/>
    <s v="DB Server Cluster1"/>
    <s v="BLADE 9"/>
    <s v="Linux"/>
    <n v="1"/>
    <n v="4"/>
    <n v="16"/>
    <n v="100"/>
    <n v="600"/>
    <s v="Oracle 11G, AWR"/>
  </r>
  <r>
    <x v="1"/>
    <x v="1"/>
    <s v="DB Server Cluster1"/>
    <s v="BLADE 10"/>
    <s v="Linux"/>
    <n v="1"/>
    <n v="4"/>
    <n v="16"/>
    <n v="100"/>
    <m/>
    <s v="Oracle 11G, AWR"/>
  </r>
  <r>
    <x v="1"/>
    <x v="0"/>
    <s v="Data Guard Cluster1"/>
    <s v="BLADE 11"/>
    <s v="Linux"/>
    <n v="1"/>
    <n v="4"/>
    <n v="16"/>
    <n v="100"/>
    <n v="600"/>
    <s v="Oracle 11G, AWR"/>
  </r>
  <r>
    <x v="1"/>
    <x v="0"/>
    <s v="Data Guard Cluster1"/>
    <s v="BLADE 12"/>
    <s v="Linux"/>
    <n v="1"/>
    <n v="4"/>
    <n v="16"/>
    <n v="100"/>
    <m/>
    <s v="Oracle 11G, AWR"/>
  </r>
  <r>
    <x v="1"/>
    <x v="1"/>
    <s v="CitiAlert Server"/>
    <s v="New LPAR 1"/>
    <s v="AIX"/>
    <n v="1"/>
    <n v="1"/>
    <n v="16"/>
    <n v="100"/>
    <n v="300"/>
    <s v="java, MQ7, NDM"/>
  </r>
  <r>
    <x v="1"/>
    <x v="1"/>
    <s v="CitiAlert Server"/>
    <s v="New LPAR 2"/>
    <s v="AIX"/>
    <n v="1"/>
    <n v="1"/>
    <n v="16"/>
    <n v="100"/>
    <m/>
    <s v="java, MQ7, NDM"/>
  </r>
  <r>
    <x v="1"/>
    <x v="1"/>
    <s v="ESTMT"/>
    <s v="rdcgcgestaa01u"/>
    <s v="AIX"/>
    <n v="1"/>
    <n v="1"/>
    <n v="4"/>
    <n v="33"/>
    <m/>
    <s v="Websphere7, NDM, ODWEK, MQ, IHS"/>
  </r>
  <r>
    <x v="2"/>
    <x v="2"/>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Table1" cacheId="15"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A3:D12" firstHeaderRow="1" firstDataRow="2" firstDataCol="1" rowPageCount="1" colPageCount="1"/>
  <pivotFields count="165">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Page" multipleItemSelectionAllowed="1" showAll="0">
      <items count="5">
        <item x="0"/>
        <item h="1" x="2"/>
        <item x="1"/>
        <item h="1" x="3"/>
        <item t="default"/>
      </items>
    </pivotField>
    <pivotField showAll="0"/>
    <pivotField showAll="0"/>
    <pivotField axis="axisRow" showAll="0">
      <items count="12">
        <item x="3"/>
        <item x="9"/>
        <item x="2"/>
        <item x="0"/>
        <item x="1"/>
        <item x="6"/>
        <item x="5"/>
        <item x="8"/>
        <item x="4"/>
        <item x="7"/>
        <item h="1" x="1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items count="24">
        <item x="4"/>
        <item x="0"/>
        <item x="3"/>
        <item x="8"/>
        <item x="10"/>
        <item x="6"/>
        <item x="2"/>
        <item x="18"/>
        <item x="15"/>
        <item x="1"/>
        <item x="9"/>
        <item x="19"/>
        <item x="16"/>
        <item x="12"/>
        <item x="11"/>
        <item x="20"/>
        <item x="13"/>
        <item x="5"/>
        <item x="21"/>
        <item x="17"/>
        <item x="14"/>
        <item x="22"/>
        <item x="7"/>
        <item t="default"/>
      </items>
    </pivotField>
    <pivotField showAll="0"/>
    <pivotField dataField="1" showAll="0">
      <items count="24">
        <item x="4"/>
        <item x="0"/>
        <item x="3"/>
        <item x="8"/>
        <item x="10"/>
        <item x="6"/>
        <item x="2"/>
        <item x="18"/>
        <item x="15"/>
        <item x="1"/>
        <item x="9"/>
        <item x="19"/>
        <item x="16"/>
        <item x="12"/>
        <item x="11"/>
        <item x="20"/>
        <item x="13"/>
        <item x="5"/>
        <item x="21"/>
        <item x="17"/>
        <item x="14"/>
        <item x="22"/>
        <item x="7"/>
        <item t="default"/>
      </items>
    </pivotField>
    <pivotField showAll="0"/>
    <pivotField showAll="0"/>
    <pivotField axis="axisCol" showAll="0">
      <items count="4">
        <item x="1"/>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6"/>
  </rowFields>
  <rowItems count="8">
    <i>
      <x/>
    </i>
    <i>
      <x v="2"/>
    </i>
    <i>
      <x v="3"/>
    </i>
    <i>
      <x v="4"/>
    </i>
    <i>
      <x v="5"/>
    </i>
    <i>
      <x v="8"/>
    </i>
    <i>
      <x v="9"/>
    </i>
    <i t="grand">
      <x/>
    </i>
  </rowItems>
  <colFields count="1">
    <field x="69"/>
  </colFields>
  <colItems count="3">
    <i>
      <x/>
    </i>
    <i>
      <x v="1"/>
    </i>
    <i t="grand">
      <x/>
    </i>
  </colItems>
  <pageFields count="1">
    <pageField fld="13" hier="-1"/>
  </pageFields>
  <dataFields count="1">
    <dataField name="Sum of SAN (GB)" fld="66" baseField="16" baseItem="10"/>
  </dataFields>
  <formats count="6">
    <format dxfId="369">
      <pivotArea outline="0" collapsedLevelsAreSubtotals="1" fieldPosition="0"/>
    </format>
    <format dxfId="368">
      <pivotArea field="16" type="button" dataOnly="0" labelOnly="1" outline="0" axis="axisRow" fieldPosition="0"/>
    </format>
    <format dxfId="367">
      <pivotArea dataOnly="0" labelOnly="1" fieldPosition="0">
        <references count="1">
          <reference field="16" count="7">
            <x v="0"/>
            <x v="2"/>
            <x v="3"/>
            <x v="4"/>
            <x v="5"/>
            <x v="8"/>
            <x v="9"/>
          </reference>
        </references>
      </pivotArea>
    </format>
    <format dxfId="366">
      <pivotArea dataOnly="0" labelOnly="1" grandRow="1" outline="0" fieldPosition="0"/>
    </format>
    <format dxfId="365">
      <pivotArea dataOnly="0" labelOnly="1" fieldPosition="0">
        <references count="1">
          <reference field="69" count="2">
            <x v="0"/>
            <x v="1"/>
          </reference>
        </references>
      </pivotArea>
    </format>
    <format dxfId="364">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1" cacheId="25" applyNumberFormats="0" applyBorderFormats="0" applyFontFormats="0" applyPatternFormats="0" applyAlignmentFormats="0" applyWidthHeightFormats="1" dataCaption="Values" updatedVersion="4" minRefreshableVersion="3" useAutoFormatting="1" itemPrintTitles="1" createdVersion="4" indent="0" outline="1" outlineData="1" multipleFieldFilters="0">
  <location ref="M2:O9" firstHeaderRow="0" firstDataRow="1" firstDataCol="1"/>
  <pivotFields count="11">
    <pivotField axis="axisRow" showAll="0">
      <items count="4">
        <item x="0"/>
        <item x="1"/>
        <item h="1" x="2"/>
        <item t="default"/>
      </items>
    </pivotField>
    <pivotField axis="axisRow" showAll="0">
      <items count="4">
        <item x="0"/>
        <item x="1"/>
        <item x="2"/>
        <item t="default"/>
      </items>
    </pivotField>
    <pivotField showAll="0"/>
    <pivotField showAll="0"/>
    <pivotField showAll="0"/>
    <pivotField showAll="0"/>
    <pivotField showAll="0"/>
    <pivotField showAll="0"/>
    <pivotField dataField="1" showAll="0"/>
    <pivotField dataField="1" showAll="0"/>
    <pivotField showAll="0"/>
  </pivotFields>
  <rowFields count="2">
    <field x="0"/>
    <field x="1"/>
  </rowFields>
  <rowItems count="7">
    <i>
      <x/>
    </i>
    <i r="1">
      <x/>
    </i>
    <i r="1">
      <x v="1"/>
    </i>
    <i>
      <x v="1"/>
    </i>
    <i r="1">
      <x/>
    </i>
    <i r="1">
      <x v="1"/>
    </i>
    <i t="grand">
      <x/>
    </i>
  </rowItems>
  <colFields count="1">
    <field x="-2"/>
  </colFields>
  <colItems count="2">
    <i>
      <x/>
    </i>
    <i i="1">
      <x v="1"/>
    </i>
  </colItems>
  <dataFields count="2">
    <dataField name="Sum of DASD" fld="8" baseField="0" baseItem="0"/>
    <dataField name="Sum of Cluster " fld="9"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ables/table1.xml><?xml version="1.0" encoding="utf-8"?>
<table xmlns="http://schemas.openxmlformats.org/spreadsheetml/2006/main" id="1" name="HostBuild" displayName="HostBuild" ref="A1:FI169" totalsRowCount="1" headerRowDxfId="363" dataDxfId="362" tableBorderDxfId="361" dataCellStyle="Currency">
  <autoFilter ref="A1:FI168">
    <filterColumn colId="16">
      <filters>
        <filter val="DIT"/>
        <filter val="SIT"/>
        <filter val="SIT/DIT"/>
      </filters>
    </filterColumn>
  </autoFilter>
  <tableColumns count="165">
    <tableColumn id="63" name="PCR" totalsRowLabel="NOTE: DO NOT DELETE THIS ROW" dataDxfId="360" totalsRowDxfId="359"/>
    <tableColumn id="131" name="Priority" dataDxfId="358" totalsRowDxfId="357"/>
    <tableColumn id="132" name="Status" dataDxfId="356" totalsRowDxfId="355"/>
    <tableColumn id="153" name="CTI Build Status Commentary" dataDxfId="354" totalsRowDxfId="353"/>
    <tableColumn id="145" name="CTI Cloud / Frame Built / Incremental Added" dataDxfId="352" totalsRowDxfId="351" dataCellStyle="Hyperlink"/>
    <tableColumn id="146" name="CTI SA Build Completed" dataDxfId="350" totalsRowDxfId="349" dataCellStyle="Hyperlink"/>
    <tableColumn id="144" name="CTI Target Completion" dataDxfId="348" totalsRowDxfId="347" dataCellStyle="Hyperlink"/>
    <tableColumn id="133" name="CTO Server / DBA Build Spec Completed" dataDxfId="346" totalsRowDxfId="345" dataCellStyle="Hyperlink"/>
    <tableColumn id="162" name="CTO Build Spec Link" dataDxfId="344" totalsRowDxfId="343"/>
    <tableColumn id="160" name="CTI DBA Build Completed" dataDxfId="342" totalsRowDxfId="341" dataCellStyle="Hyperlink"/>
    <tableColumn id="161" name="CTI Handover" dataDxfId="340" totalsRowDxfId="339" dataCellStyle="Hyperlink"/>
    <tableColumn id="147" name="CTO Acceptance" dataDxfId="338" totalsRowDxfId="337" dataCellStyle="Hyperlink"/>
    <tableColumn id="155" name="CTI Complete (Y/N)" dataDxfId="336" totalsRowDxfId="335" dataCellStyle="Hyperlink">
      <calculatedColumnFormula>IF(rngIsDate(HostBuild[CTO Acceptance]),"Y","N")</calculatedColumnFormula>
    </tableColumn>
    <tableColumn id="32" name="DC" dataDxfId="334" totalsRowDxfId="333"/>
    <tableColumn id="99" name="Region" dataDxfId="332" totalsRowDxfId="331"/>
    <tableColumn id="100" name="Country" dataDxfId="330" totalsRowDxfId="329"/>
    <tableColumn id="118" name="Env Label" dataDxfId="328" totalsRowDxfId="327"/>
    <tableColumn id="1" name="Env" dataDxfId="326" totalsRowDxfId="325">
      <calculatedColumnFormula>IF(NOT(ISBLANK(HostBuild[Env Label])),IFERROR(VLOOKUP(HostBuild[Env Label],[1]!tEnv[#Data],3,FALSE),""),"")</calculatedColumnFormula>
    </tableColumn>
    <tableColumn id="2" name="Server TCRS" dataDxfId="324" totalsRowDxfId="323"/>
    <tableColumn id="158" name="Aperture" dataDxfId="322" totalsRowDxfId="321"/>
    <tableColumn id="3" name="Product Owner" dataDxfId="320" totalsRowDxfId="319"/>
    <tableColumn id="7" name="Description" dataDxfId="318" totalsRowDxfId="317"/>
    <tableColumn id="34" name="Software List" dataDxfId="316" totalsRowDxfId="315"/>
    <tableColumn id="6" name="Type" dataDxfId="314" totalsRowDxfId="313"/>
    <tableColumn id="35" name="Product _x000a_(Acronym)" dataDxfId="312" totalsRowDxfId="311"/>
    <tableColumn id="91" name="Usage" dataDxfId="310" totalsRowDxfId="309">
      <calculatedColumnFormula>IF(NOT(ISBLANK(HostBuild[[#This Row],[Product 
(Acronym)]])),CONCATENATE(HostBuild[[#This Row],[Type]],"-",HostBuild[[#This Row],[Product 
(Acronym)]]),"")</calculatedColumnFormula>
    </tableColumn>
    <tableColumn id="8" name="CSI App ID" dataDxfId="308" totalsRowDxfId="307"/>
    <tableColumn id="70" name="Existing Server?" dataDxfId="306" totalsRowDxfId="305"/>
    <tableColumn id="115" name="Existing CPUs" dataDxfId="304" totalsRowDxfId="303" dataCellStyle="Hyperlink"/>
    <tableColumn id="125" name="Existing Cores" dataDxfId="302" totalsRowDxfId="301" dataCellStyle="Hyperlink"/>
    <tableColumn id="116" name="Existing RAM (GB)" dataDxfId="300" totalsRowDxfId="299" dataCellStyle="Hyperlink"/>
    <tableColumn id="130" name="Use existing server config towards SW Licensing?" dataDxfId="298" totalsRowDxfId="297" dataCellStyle="Hyperlink"/>
    <tableColumn id="121" name="Original Alias" dataDxfId="296" totalsRowDxfId="295" dataCellStyle="Hyperlink"/>
    <tableColumn id="165" name="Decommission" dataDxfId="294" totalsRowDxfId="293" dataCellStyle="Hyperlink"/>
    <tableColumn id="9" name="Alias" totalsRowFunction="custom" dataDxfId="292" totalsRowDxfId="291" dataCellStyle="Hyperlink">
      <totalsRowFormula array="1">SUM(IF(FREQUENCY(IF(LEN(AI2:AI168)&gt;0,MATCH(AI2:AI168,AI2:AI168,0),""),IF(LEN(AI2:AI168)&gt;0,MATCH(AI2:AI168,AI2:AI168,0),""))&gt;0,1))</totalsRowFormula>
    </tableColumn>
    <tableColumn id="159" name="Uniqueness Factor" dataDxfId="290" totalsRowDxfId="289">
      <calculatedColumnFormula>IF(COUNTIF(HostBuild[Alias],HostBuild[Alias]),1/COUNTIF(HostBuild[Alias],HostBuild[Alias]),0)</calculatedColumnFormula>
    </tableColumn>
    <tableColumn id="52" name="Hostname" dataDxfId="288" totalsRowDxfId="287" dataCellStyle="Hyperlink"/>
    <tableColumn id="10" name="Domain" dataDxfId="286" totalsRowDxfId="285" dataCellStyle="Hyperlink"/>
    <tableColumn id="11" name="Server Model" dataDxfId="284" totalsRowDxfId="283" dataCellStyle="Hyperlink"/>
    <tableColumn id="76" name="Server Tier" dataDxfId="282" totalsRowDxfId="281" dataCellStyle="Hyperlink">
      <calculatedColumnFormula>IF(NOT(ISBLANK(HostBuild[Server Model])),VLOOKUP(HostBuild[Server Model],[1]!ServerModelsTier[#Data],2,FALSE),"")</calculatedColumnFormula>
    </tableColumn>
    <tableColumn id="119" name="Server Type" dataDxfId="280" totalsRowDxfId="279" dataCellStyle="Hyperlink">
      <calculatedColumnFormula>IF(NOT(ISBLANK(HostBuild[Server Model])),VLOOKUP(HostBuild[Server Model],[1]!ServerModelsTier[#Data],5,FALSE),"")</calculatedColumnFormula>
    </tableColumn>
    <tableColumn id="117" name="Virtual Platform Storage Type" dataDxfId="278" totalsRowDxfId="277" dataCellStyle="Hyperlink"/>
    <tableColumn id="12" name="O/S" dataDxfId="276" totalsRowDxfId="275" dataCellStyle="Hyperlink"/>
    <tableColumn id="17" name="CPU" totalsRowFunction="sum" dataDxfId="274" totalsRowDxfId="273" dataCellStyle="Hyperlink"/>
    <tableColumn id="13" name="CPU Speed" dataDxfId="272" totalsRowDxfId="271" dataCellStyle="Hyperlink"/>
    <tableColumn id="18" name="Cores _x000a_(Licensed Units)" totalsRowFunction="sum" dataDxfId="270" totalsRowDxfId="269" dataCellStyle="Hyperlink"/>
    <tableColumn id="105" name="Recommended RAM (GB)" dataDxfId="268" totalsRowDxfId="267" dataCellStyle="Hyperlink">
      <calculatedColumnFormula>IF(IFERROR(FIND("P-Series",HostBuild[Server Tier]),0),CEILING((HostBuild[Existing CPUs]+HostBuild[CPU])*16,8),"")</calculatedColumnFormula>
    </tableColumn>
    <tableColumn id="26" name="RAM _x000a_(GB)" totalsRowFunction="sum" dataDxfId="266" totalsRowDxfId="265" dataCellStyle="Hyperlink"/>
    <tableColumn id="5" name="Is Clustered? (ID #)" dataDxfId="264" totalsRowDxfId="263" dataCellStyle="Hyperlink"/>
    <tableColumn id="164" name="Cluster Type" dataDxfId="262" totalsRowDxfId="261" dataCellStyle="Hyperlink"/>
    <tableColumn id="163" name="Cluster Mode" dataDxfId="260" totalsRowDxfId="259" dataCellStyle="Hyperlink"/>
    <tableColumn id="4" name="Affinity" dataDxfId="258" totalsRowDxfId="257" dataCellStyle="Hyperlink"/>
    <tableColumn id="14" name="Frame/Chassis #" dataDxfId="256" totalsRowDxfId="255" dataCellStyle="Hyperlink"/>
    <tableColumn id="15" name="Slot #" dataDxfId="254" totalsRowDxfId="253" dataCellStyle="Hyperlink"/>
    <tableColumn id="16" name="Frame S/N" dataDxfId="252" totalsRowDxfId="251" dataCellStyle="Hyperlink"/>
    <tableColumn id="19" name="Min Virtual Processors" dataDxfId="250" totalsRowDxfId="249" dataCellStyle="Hyperlink"/>
    <tableColumn id="20" name="Desired Virtual Processors" dataDxfId="248" totalsRowDxfId="247" dataCellStyle="Hyperlink"/>
    <tableColumn id="21" name="Max Virtual Processors" dataDxfId="246" totalsRowDxfId="245" dataCellStyle="Hyperlink"/>
    <tableColumn id="22" name="Min Processing Units" dataDxfId="244" totalsRowDxfId="243" dataCellStyle="Hyperlink"/>
    <tableColumn id="23" name="Desired Processing Units" dataDxfId="242" totalsRowDxfId="241" dataCellStyle="Hyperlink"/>
    <tableColumn id="24" name="Max Processing Units" dataDxfId="240" totalsRowDxfId="239" dataCellStyle="Hyperlink"/>
    <tableColumn id="25" name="Weight_x000a_(0-256)" dataDxfId="238" totalsRowDxfId="237" dataCellStyle="Hyperlink"/>
    <tableColumn id="106" name="Recommended SAN (GB)" dataDxfId="236" totalsRowDxfId="235">
      <calculatedColumnFormula>IF(HostBuild[Existing Server?]&lt;&gt;"Yes - Inside this BoM",IF(ISNUMBER(HostBuild[RAM 
(GB)]),IF(HostBuild[Existing RAM (GB)]+HostBuild[RAM 
(GB)]&gt;0,IF(OR(HostBuild[Server Type]="x86",IFERROR(FIND("SAN", HostBuild[Virtual Platform Storage Type]),FALSE)),CEILING(2*LUN+(HostBuild[Existing RAM (GB)]+HostBuild[RAM 
(GB)]),LUN),0),0),0),0)</calculatedColumnFormula>
    </tableColumn>
    <tableColumn id="77" name="Additional SAN (GB)" dataDxfId="234" totalsRowDxfId="233" dataCellStyle="Hyperlink"/>
    <tableColumn id="27" name="SAN (GB)_x000a_NEEDED TODAY" totalsRowFunction="sum" dataDxfId="232" totalsRowDxfId="231">
      <calculatedColumnFormula>IF(ISNUMBER(HostBuild[Recommended SAN (GB)]),HostBuild[Recommended SAN (GB)])+IF(HostBuild[Additional SAN (GB)]&gt;0,CEILING(HostBuild[Additional SAN (GB)],LUN),-(CEILING(-HostBuild[Additional SAN (GB)],LUN)))</calculatedColumnFormula>
    </tableColumn>
    <tableColumn id="73" name="SAN (GB)_x000a_RESERVED_x000a_DO NOT USE TO BUILD" totalsRowFunction="sum" dataDxfId="230" totalsRowDxfId="229"/>
    <tableColumn id="72" name="SAN (GB)_x000a_End-State_x000a_DO NOT USE TO BUILD" totalsRowFunction="sum" dataDxfId="228" totalsRowDxfId="227">
      <calculatedColumnFormula>HostBuild[SAN (GB)
NEEDED TODAY]+CEILING(HostBuild[SAN (GB)
RESERVED
DO NOT USE TO BUILD], LUN)</calculatedColumnFormula>
    </tableColumn>
    <tableColumn id="150" name="SAN (GB) Shared" dataDxfId="226" totalsRowDxfId="225"/>
    <tableColumn id="151" name="Shared SAN Group Name" dataDxfId="224" totalsRowDxfId="223"/>
    <tableColumn id="107" name="Require SRDF?" dataDxfId="222" totalsRowDxfId="221"/>
    <tableColumn id="108" name="Recommended NAS (GB)" dataDxfId="220" totalsRowDxfId="219">
      <calculatedColumnFormula>IF(HostBuild[Existing Server?]&lt;&gt;"Yes - Inside this BoM",IF(ISNUMBER(HostBuild[RAM 
(GB)]),IF(HostBuild[Existing RAM (GB)]+HostBuild[RAM 
(GB)]&gt;0,IF(HostBuild[Virtual Platform Storage Type]="NAS",110+HostBuild[Existing RAM (GB)]+HostBuild[RAM 
(GB)]*1.75,0),0),0),0)</calculatedColumnFormula>
    </tableColumn>
    <tableColumn id="109" name="Additional NAS (GB)" dataDxfId="218" totalsRowDxfId="217"/>
    <tableColumn id="31" name="NAS (GB) Dedicated" totalsRowFunction="sum" dataDxfId="216" totalsRowDxfId="215">
      <calculatedColumnFormula>IF(ISNUMBER(HostBuild[Recommended NAS (GB)]),HostBuild[Recommended NAS (GB)])+HostBuild[Additional NAS (GB)]</calculatedColumnFormula>
    </tableColumn>
    <tableColumn id="28" name="NAS _x000a_(GB) Shared" totalsRowFunction="sum" dataDxfId="214" totalsRowDxfId="213"/>
    <tableColumn id="85" name="NAS Shared Groups" dataDxfId="212" totalsRowDxfId="211"/>
    <tableColumn id="78" name="Archive_x000a_Full (GB)" totalsRowFunction="sum" dataDxfId="210" totalsRowDxfId="209">
      <calculatedColumnFormula>IFERROR((HostBuild[SAN (GB)
End-State
DO NOT USE TO BUILD]+HostBuild[SAN (GB) Shared])*25%,"")</calculatedColumnFormula>
    </tableColumn>
    <tableColumn id="79" name="Archive_x000a_Incr (GB)" totalsRowFunction="sum" dataDxfId="208" totalsRowDxfId="207">
      <calculatedColumnFormula>IFERROR(HostBuild[Archive
Full (GB)]*15%,"")</calculatedColumnFormula>
    </tableColumn>
    <tableColumn id="148" name="HSM Required?" dataDxfId="206" totalsRowDxfId="205"/>
    <tableColumn id="154" name="DMZ Required?" dataDxfId="204" totalsRowDxfId="203"/>
    <tableColumn id="69" name="Type of Network Connection I" dataDxfId="202" totalsRowDxfId="201"/>
    <tableColumn id="83" name="# of Connections I" dataDxfId="200" totalsRowDxfId="199"/>
    <tableColumn id="65" name="Type of Network Connection II" dataDxfId="198" totalsRowDxfId="197"/>
    <tableColumn id="64" name="# of Connections II" dataDxfId="196" totalsRowDxfId="195"/>
    <tableColumn id="29" name="Primary_x000a_IP" dataDxfId="194" totalsRowDxfId="193"/>
    <tableColumn id="30" name="Secondary_x000a_IP" dataDxfId="192" totalsRowDxfId="191"/>
    <tableColumn id="90" name="Capital Costs_x000a_(One-Time)" totalsRowFunction="sum" dataDxfId="190" totalsRowDxfId="189" dataCellStyle="Currency"/>
    <tableColumn id="89" name="Capital Costs_x000a_(Annual)" totalsRowFunction="sum" dataDxfId="188" totalsRowDxfId="187" dataCellStyle="Currency"/>
    <tableColumn id="71" name="Notes" dataDxfId="186" totalsRowDxfId="185"/>
    <tableColumn id="33" name="SW Start" dataDxfId="184" totalsRowDxfId="183"/>
    <tableColumn id="48" name="Ab Initio" totalsRowFunction="custom" dataDxfId="182" totalsRowDxfId="181">
      <calculatedColumnFormula>IFERROR(IF(FIND(CL$1,$W2)&gt;0,IF(INDEX([1]!Product_Pricing_Table[#Data],MATCH(CL$1,Products,0),2)="Cores",IF(HostBuild[Use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calculatedColumnFormula>
      <totalsRowFormula>SUBTOTAL(109,CL2:CL168)</totalsRowFormula>
    </tableColumn>
    <tableColumn id="128" name="CA APM" totalsRowFunction="sum" dataDxfId="180" totalsRowDxfId="179">
      <calculatedColumnFormula>IFERROR(IF(FIND(CM$1,$W2)&gt;0,IF(INDEX([1]!Product_Pricing_Table[#Data],MATCH(CM$1,Products,0),2)="Cores",IF(HostBuild[Use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calculatedColumnFormula>
    </tableColumn>
    <tableColumn id="87" name="FinCAD" totalsRowFunction="custom" dataDxfId="178" totalsRowDxfId="177">
      <calculatedColumnFormula>IFERROR(IF(FIND(CN$1,$W2)&gt;0,IF(INDEX([1]!Product_Pricing_Table[#Data],MATCH(CN$1,Products,0),2)="Cores",IF(HostBuild[Use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calculatedColumnFormula>
      <totalsRowFormula>SUBTOTAL(109,CN2:CN168)</totalsRowFormula>
    </tableColumn>
    <tableColumn id="61" name="IBM BG Web Client" totalsRowFunction="custom" dataDxfId="176" totalsRowDxfId="175">
      <calculatedColumnFormula>IFERROR(IF(FIND(CO$1,$W2)&gt;0,IF(INDEX([1]!Product_Pricing_Table[#Data],MATCH(CO$1,Products,0),2)="Cores",IF(HostBuild[Use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calculatedColumnFormula>
      <totalsRowFormula>SUBTOTAL(109,CO2:CO168)</totalsRowFormula>
    </tableColumn>
    <tableColumn id="54" name="IBM Biz Glossary" totalsRowFunction="custom" dataDxfId="174" totalsRowDxfId="173">
      <calculatedColumnFormula>IFERROR(IF(FIND(CP$1,$W2)&gt;0,IF(INDEX([1]!Product_Pricing_Table[#Data],MATCH(CP$1,Products,0),2)="Cores",IF(HostBuild[Use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calculatedColumnFormula>
      <totalsRowFormula>SUBTOTAL(109,CP2:CP168)</totalsRowFormula>
    </tableColumn>
    <tableColumn id="39" name="IBM Datastage" totalsRowFunction="custom" dataDxfId="172" totalsRowDxfId="171">
      <calculatedColumnFormula>IFERROR(IF(FIND(CQ$1,$W2)&gt;0,IF(INDEX([1]!Product_Pricing_Table[#Data],MATCH(CQ$1,Products,0),2)="Cores",IF(HostBuild[Use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calculatedColumnFormula>
      <totalsRowFormula>SUBTOTAL(109,CQ2:CQ168)</totalsRowFormula>
    </tableColumn>
    <tableColumn id="53" name="IBM DS Designer" totalsRowFunction="custom" dataDxfId="170" totalsRowDxfId="169">
      <calculatedColumnFormula>IFERROR(IF(FIND(CR$1,$W2)&gt;0,IF(INDEX([1]!Product_Pricing_Table[#Data],MATCH(CR$1,Products,0),2)="Cores",IF(HostBuild[Use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calculatedColumnFormula>
      <totalsRowFormula>SUBTOTAL(109,CR2:CR168)</totalsRowFormula>
    </tableColumn>
    <tableColumn id="101" name="IBM DS IS Dir" totalsRowFunction="sum" dataDxfId="168" totalsRowDxfId="167">
      <calculatedColumnFormula>IFERROR(IF(FIND(CS$1,$W2)&gt;0,IF(INDEX([1]!Product_Pricing_Table[#Data],MATCH(CS$1,Products,0),2)="Cores",IF(HostBuild[Use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calculatedColumnFormula>
    </tableColumn>
    <tableColumn id="92" name="IBM HTTP pSeries" totalsRowFunction="sum" dataDxfId="166" totalsRowDxfId="165">
      <calculatedColumnFormula>IFERROR(IF(FIND(CT$1,$W2)&gt;0,IF(INDEX([1]!Product_Pricing_Table[#Data],MATCH(CT$1,Products,0),2)="Cores",IF(HostBuild[Use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calculatedColumnFormula>
    </tableColumn>
    <tableColumn id="88" name="IBM HTTP x86" totalsRowFunction="sum" dataDxfId="164" totalsRowDxfId="163">
      <calculatedColumnFormula>IFERROR(IF(FIND(CU$1,$W2)&gt;0,IF(INDEX([1]!Product_Pricing_Table[#Data],MATCH(CU$1,Products,0),2)="Cores",IF(HostBuild[Use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calculatedColumnFormula>
    </tableColumn>
    <tableColumn id="112" name="IBM Tivoli DS" totalsRowFunction="sum" dataDxfId="162" totalsRowDxfId="161">
      <calculatedColumnFormula>IFERROR(IF(FIND(CV$1,$W2)&gt;0,IF(INDEX([1]!Product_Pricing_Table[#Data],MATCH(CV$1,Products,0),2)="Cores",IF(HostBuild[Use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calculatedColumnFormula>
    </tableColumn>
    <tableColumn id="59" name="IBM WAS pSeries" totalsRowFunction="custom" dataDxfId="160" totalsRowDxfId="159">
      <calculatedColumnFormula>IFERROR(IF(FIND(CW$1,$W2)&gt;0,IF(INDEX([1]!Product_Pricing_Table[#Data],MATCH(CW$1,Products,0),2)="Cores",IF(HostBuild[Use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calculatedColumnFormula>
      <totalsRowFormula>SUBTOTAL(109,CW2:CW168)</totalsRowFormula>
    </tableColumn>
    <tableColumn id="36" name="IBM WAS x86" totalsRowFunction="custom" dataDxfId="158" totalsRowDxfId="157">
      <calculatedColumnFormula>IFERROR(IF(FIND(CX$1,$W2)&gt;0,IF(INDEX([1]!Product_Pricing_Table[#Data],MATCH(CX$1,Products,0),2)="Cores",IF(HostBuild[Use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calculatedColumnFormula>
      <totalsRowFormula>SUBTOTAL(109,CX2:CX168)</totalsRowFormula>
    </tableColumn>
    <tableColumn id="113" name="IBM WBM pSeries" totalsRowFunction="sum" dataDxfId="156" totalsRowDxfId="155">
      <calculatedColumnFormula>IFERROR(IF(FIND(CY$1,$W2)&gt;0,IF(INDEX([1]!Product_Pricing_Table[#Data],MATCH(CY$1,Products,0),2)="Cores",IF(HostBuild[Use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calculatedColumnFormula>
    </tableColumn>
    <tableColumn id="38" name="IBM WMQ x86" totalsRowFunction="custom" dataDxfId="154" totalsRowDxfId="153">
      <calculatedColumnFormula>IFERROR(IF(FIND(CZ$1,$W2)&gt;0,IF(INDEX([1]!Product_Pricing_Table[#Data],MATCH(CZ$1,Products,0),2)="Cores",IF(HostBuild[Use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calculatedColumnFormula>
      <totalsRowFormula>SUBTOTAL(109,CZ2:CZ168)</totalsRowFormula>
    </tableColumn>
    <tableColumn id="58" name="IBM WPS pSeries" totalsRowFunction="custom" dataDxfId="152" totalsRowDxfId="151">
      <calculatedColumnFormula>IFERROR(IF(FIND(DA$1,$W2)&gt;0,IF(INDEX([1]!Product_Pricing_Table[#Data],MATCH(DA$1,Products,0),2)="Cores",IF(HostBuild[Use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calculatedColumnFormula>
      <totalsRowFormula>SUBTOTAL(109,DA2:DA168)</totalsRowFormula>
    </tableColumn>
    <tableColumn id="37" name="IBM WPS x86" totalsRowFunction="custom" dataDxfId="150" totalsRowDxfId="149">
      <calculatedColumnFormula>IFERROR(IF(FIND(DB$1,$W2)&gt;0,IF(INDEX([1]!Product_Pricing_Table[#Data],MATCH(DB$1,Products,0),2)="Cores",IF(HostBuild[Use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calculatedColumnFormula>
      <totalsRowFormula>SUBTOTAL(109,DB2:DB168)</totalsRowFormula>
    </tableColumn>
    <tableColumn id="114" name="IBM WS Process Srvr" totalsRowFunction="sum" dataDxfId="148" totalsRowDxfId="147">
      <calculatedColumnFormula>IFERROR(IF(FIND(DC$1,$W2)&gt;0,IF(INDEX([1]!Product_Pricing_Table[#Data],MATCH(DC$1,Products,0),2)="Cores",IF(HostBuild[Use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calculatedColumnFormula>
    </tableColumn>
    <tableColumn id="149" name="IBM WS VE (Cntrlr)" totalsRowFunction="sum" dataDxfId="146" totalsRowDxfId="145">
      <calculatedColumnFormula>IFERROR(IF(FIND(DD$1,$W2)&gt;0,IF(INDEX([1]!Product_Pricing_Table[#Data],MATCH(DD$1,Products,0),2)="Cores",IF(HostBuild[Use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calculatedColumnFormula>
    </tableColumn>
    <tableColumn id="152" name="IBM WS VE (Node)" totalsRowFunction="sum" dataDxfId="144" totalsRowDxfId="143">
      <calculatedColumnFormula>IFERROR(IF(FIND(DE$1,$W2)&gt;0,IF(INDEX([1]!Product_Pricing_Table[#Data],MATCH(DE$1,Products,0),2)="Cores",IF(HostBuild[Use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calculatedColumnFormula>
    </tableColumn>
    <tableColumn id="47" name="Kana (Both)" totalsRowFunction="custom" dataDxfId="142" totalsRowDxfId="141">
      <calculatedColumnFormula>IFERROR(IF(FIND(DF$1,$W2)&gt;0,IF(INDEX([1]!Product_Pricing_Table[#Data],MATCH(DF$1,Products,0),2)="Cores",IF(HostBuild[Use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calculatedColumnFormula>
      <totalsRowFormula>SUBTOTAL(109,DF2:DF168)</totalsRowFormula>
    </tableColumn>
    <tableColumn id="156" name="MS SQL EE (Ext)" totalsRowFunction="sum" dataDxfId="140" totalsRowDxfId="139">
      <calculatedColumnFormula>IFERROR(IF(FIND(DG$1,$W2)&gt;0,IF(INDEX([1]!Product_Pricing_Table[#Data],MATCH(DG$1,Products,0),2)="Cores",IF(HostBuild[Use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calculatedColumnFormula>
    </tableColumn>
    <tableColumn id="49" name="MS SQL EE (Int)" totalsRowFunction="custom" dataDxfId="138" totalsRowDxfId="137">
      <calculatedColumnFormula>IFERROR(IF(FIND(DH$1,$W2)&gt;0,IF(INDEX([1]!Product_Pricing_Table[#Data],MATCH(DH$1,Products,0),2)="Cores",IF(HostBuild[Use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calculatedColumnFormula>
      <totalsRowFormula>SUBTOTAL(109,DH2:DH168)</totalsRowFormula>
    </tableColumn>
    <tableColumn id="157" name="MS SQL SE (Ext)" totalsRowFunction="sum" dataDxfId="136" totalsRowDxfId="135">
      <calculatedColumnFormula>IFERROR(IF(FIND(DI$1,$W2)&gt;0,IF(INDEX([1]!Product_Pricing_Table[#Data],MATCH(DI$1,Products,0),2)="Cores",IF(HostBuild[Use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calculatedColumnFormula>
    </tableColumn>
    <tableColumn id="81" name="MS SQL SE (Int)" totalsRowFunction="custom" dataDxfId="134" totalsRowDxfId="133">
      <calculatedColumnFormula>IFERROR(IF(FIND(DJ$1,$W2)&gt;0,IF(INDEX([1]!Product_Pricing_Table[#Data],MATCH(DJ$1,Products,0),2)="Cores",IF(HostBuild[Use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calculatedColumnFormula>
      <totalsRowFormula>SUBTOTAL(109,DJ2:DJ168)</totalsRowFormula>
    </tableColumn>
    <tableColumn id="134" name="Oracle ASO pSeries" totalsRowFunction="custom" dataDxfId="132" totalsRowDxfId="131">
      <calculatedColumnFormula>IFERROR(IF(FIND(DK$1,$W2)&gt;0,IF(INDEX([1]!Product_Pricing_Table[#Data],MATCH(DK$1,Products,0),2)="Cores",IF(HostBuild[Use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calculatedColumnFormula>
      <totalsRowFormula>SUBTOTAL(109,DK2:DK168)</totalsRowFormula>
    </tableColumn>
    <tableColumn id="135" name="Oracle ASO x86" totalsRowFunction="custom" dataDxfId="130" totalsRowDxfId="129">
      <calculatedColumnFormula>IFERROR(IF(FIND(DL$1,$W2)&gt;0,IF(INDEX([1]!Product_Pricing_Table[#Data],MATCH(DL$1,Products,0),2)="Cores",IF(HostBuild[Use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calculatedColumnFormula>
      <totalsRowFormula>SUBTOTAL(109,DL2:DL168)</totalsRowFormula>
    </tableColumn>
    <tableColumn id="136" name="Oracle Ext. Bundle pSeries" totalsRowFunction="custom" dataDxfId="128" totalsRowDxfId="127">
      <calculatedColumnFormula>IFERROR(IF(FIND(DM$1,$W2)&gt;0,IF(INDEX([1]!Product_Pricing_Table[#Data],MATCH(DM$1,Products,0),2)="Cores",IF(HostBuild[Use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calculatedColumnFormula>
      <totalsRowFormula>SUBTOTAL(109,DM2:DM168)</totalsRowFormula>
    </tableColumn>
    <tableColumn id="137" name="Oracle Ext. Bundle x86" totalsRowFunction="custom" dataDxfId="126" totalsRowDxfId="125">
      <calculatedColumnFormula>IFERROR(IF(FIND(DN$1,$W2)&gt;0,IF(INDEX([1]!Product_Pricing_Table[#Data],MATCH(DN$1,Products,0),2)="Cores",IF(HostBuild[Use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calculatedColumnFormula>
      <totalsRowFormula>SUBTOTAL(109,DN2:DN168)</totalsRowFormula>
    </tableColumn>
    <tableColumn id="138" name="Oracle GG pSeries" totalsRowFunction="custom" dataDxfId="124" totalsRowDxfId="123">
      <calculatedColumnFormula>IFERROR(IF(FIND(DO$1,$W2)&gt;0,IF(INDEX([1]!Product_Pricing_Table[#Data],MATCH(DO$1,Products,0),2)="Cores",IF(HostBuild[Use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calculatedColumnFormula>
      <totalsRowFormula>SUBTOTAL(109,DO2:DO168)</totalsRowFormula>
    </tableColumn>
    <tableColumn id="139" name="Oracle GG x86" totalsRowFunction="custom" dataDxfId="122" totalsRowDxfId="121">
      <calculatedColumnFormula>IFERROR(IF(FIND(DP$1,$W2)&gt;0,IF(INDEX([1]!Product_Pricing_Table[#Data],MATCH(DP$1,Products,0),2)="Cores",IF(HostBuild[Use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calculatedColumnFormula>
      <totalsRowFormula>SUBTOTAL(109,DP2:DP168)</totalsRowFormula>
    </tableColumn>
    <tableColumn id="140" name="Oracle GG Veridata pSeries" totalsRowFunction="custom" dataDxfId="120" totalsRowDxfId="119">
      <calculatedColumnFormula>IFERROR(IF(FIND(DQ$1,$W2)&gt;0,IF(INDEX([1]!Product_Pricing_Table[#Data],MATCH(DQ$1,Products,0),2)="Cores",IF(HostBuild[Use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calculatedColumnFormula>
      <totalsRowFormula>SUBTOTAL(109,DQ2:DQ168)</totalsRowFormula>
    </tableColumn>
    <tableColumn id="141" name="Oracle GG Veridata x86" totalsRowFunction="custom" dataDxfId="118" totalsRowDxfId="117">
      <calculatedColumnFormula>IFERROR(IF(FIND(DR$1,$W2)&gt;0,IF(INDEX([1]!Product_Pricing_Table[#Data],MATCH(DR$1,Products,0),2)="Cores",IF(HostBuild[Use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calculatedColumnFormula>
      <totalsRowFormula>SUBTOTAL(109,DR2:DR168)</totalsRowFormula>
    </tableColumn>
    <tableColumn id="142" name="Oracle Partitioning pSeries" totalsRowFunction="custom" dataDxfId="116" totalsRowDxfId="115">
      <calculatedColumnFormula>IFERROR(IF(FIND(DS$1,$W2)&gt;0,IF(INDEX([1]!Product_Pricing_Table[#Data],MATCH(DS$1,Products,0),2)="Cores",IF(HostBuild[Use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calculatedColumnFormula>
      <totalsRowFormula>SUBTOTAL(109,DS2:DS168)</totalsRowFormula>
    </tableColumn>
    <tableColumn id="143" name="Oracle Partitioning x86" totalsRowFunction="custom" dataDxfId="114" totalsRowDxfId="113">
      <calculatedColumnFormula>IFERROR(IF(FIND(DT$1,$W2)&gt;0,IF(INDEX([1]!Product_Pricing_Table[#Data],MATCH(DT$1,Products,0),2)="Cores",IF(HostBuild[Use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calculatedColumnFormula>
      <totalsRowFormula>SUBTOTAL(109,DT2:DT168)</totalsRowFormula>
    </tableColumn>
    <tableColumn id="75" name="Oracle RAC pSeries" totalsRowFunction="custom" dataDxfId="112" totalsRowDxfId="111">
      <calculatedColumnFormula>IFERROR(IF(FIND(DU$1,$W2)&gt;0,IF(INDEX([1]!Product_Pricing_Table[#Data],MATCH(DU$1,Products,0),2)="Cores",IF(HostBuild[Use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calculatedColumnFormula>
      <totalsRowFormula>SUBTOTAL(109,DU2:DU168)</totalsRowFormula>
    </tableColumn>
    <tableColumn id="74" name="Oracle RAC x86" totalsRowFunction="custom" dataDxfId="110" totalsRowDxfId="109">
      <calculatedColumnFormula>IFERROR(IF(FIND(DV$1,$W2)&gt;0,IF(INDEX([1]!Product_Pricing_Table[#Data],MATCH(DV$1,Products,0),2)="Cores",IF(HostBuild[Use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calculatedColumnFormula>
      <totalsRowFormula>SUBTOTAL(109,DV2:DV168)</totalsRowFormula>
    </tableColumn>
    <tableColumn id="51" name="Oracle Spatial pSeries" totalsRowFunction="custom" dataDxfId="108" totalsRowDxfId="107">
      <calculatedColumnFormula>IFERROR(IF(FIND(DW$1,$W2)&gt;0,IF(INDEX([1]!Product_Pricing_Table[#Data],MATCH(DW$1,Products,0),2)="Cores",IF(HostBuild[Use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calculatedColumnFormula>
      <totalsRowFormula>SUBTOTAL(109,DW2:DW168)</totalsRowFormula>
    </tableColumn>
    <tableColumn id="104" name="Oracle Spatial x86" totalsRowFunction="sum" dataDxfId="106" totalsRowDxfId="105">
      <calculatedColumnFormula>IFERROR(IF(FIND(DX$1,$W2)&gt;0,IF(INDEX([1]!Product_Pricing_Table[#Data],MATCH(DX$1,Products,0),2)="Cores",IF(HostBuild[Use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calculatedColumnFormula>
    </tableColumn>
    <tableColumn id="102" name="Oracle Standalone" totalsRowFunction="sum" dataDxfId="104" totalsRowDxfId="103">
      <calculatedColumnFormula>IFERROR(IF(FIND(DY$1,$W2)&gt;0,IF(INDEX([1]!Product_Pricing_Table[#Data],MATCH(DY$1,Products,0),2)="Cores",IF(HostBuild[Use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calculatedColumnFormula>
    </tableColumn>
    <tableColumn id="103" name="Oracle WebLogic pSeries" totalsRowFunction="sum" dataDxfId="102" totalsRowDxfId="101">
      <calculatedColumnFormula>IFERROR(IF(FIND(DZ$1,$W2)&gt;0,IF(INDEX([1]!Product_Pricing_Table[#Data],MATCH(DZ$1,Products,0),2)="Cores",IF(HostBuild[Use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calculatedColumnFormula>
    </tableColumn>
    <tableColumn id="93" name="Oracle WebLogic x86" totalsRowFunction="sum" dataDxfId="100" totalsRowDxfId="99">
      <calculatedColumnFormula>IFERROR(IF(FIND(EA$1,$W2)&gt;0,IF(INDEX([1]!Product_Pricing_Table[#Data],MATCH(EA$1,Products,0),2)="Cores",IF(HostBuild[Use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calculatedColumnFormula>
    </tableColumn>
    <tableColumn id="50" name="PB Spectrum" totalsRowFunction="custom" dataDxfId="98" totalsRowDxfId="97">
      <calculatedColumnFormula>IFERROR(IF(FIND(EB$1,$W2)&gt;0,IF(INDEX([1]!Product_Pricing_Table[#Data],MATCH(EB$1,Products,0),2)="Cores",IF(HostBuild[Use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calculatedColumnFormula>
      <totalsRowFormula>SUBTOTAL(109,EB2:EB168)</totalsRowFormula>
    </tableColumn>
    <tableColumn id="46" name="SAP BO" totalsRowFunction="custom" dataDxfId="96" totalsRowDxfId="95">
      <calculatedColumnFormula>IFERROR(IF(FIND(EC$1,$W2)&gt;0,IF(INDEX([1]!Product_Pricing_Table[#Data],MATCH(EC$1,Products,0),2)="Cores",IF(HostBuild[Use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calculatedColumnFormula>
      <totalsRowFormula>SUBTOTAL(109,EC2:EC168)</totalsRowFormula>
    </tableColumn>
    <tableColumn id="40" name="Sterling NDM" totalsRowFunction="custom" dataDxfId="94" totalsRowDxfId="93">
      <calculatedColumnFormula>IFERROR(IF(FIND(ED$1,$W2)&gt;0,IF(INDEX([1]!Product_Pricing_Table[#Data],MATCH(ED$1,Products,0),2)="Cores",IF(HostBuild[Use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calculatedColumnFormula>
      <totalsRowFormula>SUBTOTAL(109,ED2:ED168)</totalsRowFormula>
    </tableColumn>
    <tableColumn id="111" name="TIBCO Adapter SDK" totalsRowFunction="sum" dataDxfId="92" totalsRowDxfId="91">
      <calculatedColumnFormula>IFERROR(IF(FIND(EE$1,$W2)&gt;0,IF(INDEX([1]!Product_Pricing_Table[#Data],MATCH(EE$1,Products,0),2)="Cores",IF(HostBuild[Use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calculatedColumnFormula>
    </tableColumn>
    <tableColumn id="45" name="TIBCO AMX BPM" totalsRowFunction="custom" dataDxfId="90" totalsRowDxfId="89">
      <calculatedColumnFormula>IFERROR(IF(FIND(EF$1,$W2)&gt;0,IF(INDEX([1]!Product_Pricing_Table[#Data],MATCH(EF$1,Products,0),2)="Cores",IF(HostBuild[Use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calculatedColumnFormula>
      <totalsRowFormula>SUBTOTAL(109,EF2:EF168)</totalsRowFormula>
    </tableColumn>
    <tableColumn id="43" name="TIBCO BE" totalsRowFunction="custom" dataDxfId="88" totalsRowDxfId="87">
      <calculatedColumnFormula>IFERROR(IF(FIND(EG$1,$W2)&gt;0,IF(INDEX([1]!Product_Pricing_Table[#Data],MATCH(EG$1,Products,0),2)="Cores",IF(HostBuild[Use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calculatedColumnFormula>
      <totalsRowFormula>SUBTOTAL(109,EG2:EG168)</totalsRowFormula>
    </tableColumn>
    <tableColumn id="41" name="TIBCO BW" totalsRowFunction="custom" dataDxfId="86" totalsRowDxfId="85">
      <calculatedColumnFormula>IFERROR(IF(FIND(EH$1,$W2)&gt;0,IF(INDEX([1]!Product_Pricing_Table[#Data],MATCH(EH$1,Products,0),2)="Cores",IF(HostBuild[Use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calculatedColumnFormula>
      <totalsRowFormula>SUBTOTAL(109,EH2:EH168)</totalsRowFormula>
    </tableColumn>
    <tableColumn id="42" name="TIBCO EMS" totalsRowFunction="custom" dataDxfId="84" totalsRowDxfId="83">
      <calculatedColumnFormula>IFERROR(IF(FIND(EI$1,$W2)&gt;0,IF(INDEX([1]!Product_Pricing_Table[#Data],MATCH(EI$1,Products,0),2)="Cores",IF(HostBuild[Use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calculatedColumnFormula>
      <totalsRowFormula>SUBTOTAL(109,EI2:EI168)</totalsRowFormula>
    </tableColumn>
    <tableColumn id="44" name="TIBCO iProcess" totalsRowFunction="custom" dataDxfId="82" totalsRowDxfId="81">
      <calculatedColumnFormula>IFERROR(IF(FIND(EJ$1,$W2)&gt;0,IF(INDEX([1]!Product_Pricing_Table[#Data],MATCH(EJ$1,Products,0),2)="Cores",IF(HostBuild[Use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calculatedColumnFormula>
      <totalsRowFormula>SUBTOTAL(109,EJ2:EJ168)</totalsRowFormula>
    </tableColumn>
    <tableColumn id="82" name="Veritas Cluster/CFS" totalsRowFunction="custom" dataDxfId="80" totalsRowDxfId="79">
      <calculatedColumnFormula>IFERROR(IF(FIND(EK$1,$W2)&gt;0,IF(INDEX([1]!Product_Pricing_Table[#Data],MATCH(EK$1,Products,0),2)="Cores",IF(HostBuild[Use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calculatedColumnFormula>
      <totalsRowFormula>SUBTOTAL(109,EK2:EK168)</totalsRowFormula>
    </tableColumn>
    <tableColumn id="110" name="SW End" dataDxfId="78" totalsRowDxfId="77"/>
    <tableColumn id="55" name="Software Costs_x000a_[Year 1]_x000a_(Monthly)" totalsRowFunction="sum" dataDxfId="76" totalsRowDxfId="75"/>
    <tableColumn id="56" name="Software Costs_x000a_[After Year 1]_x000a_(Monthly)" totalsRowFunction="sum" dataDxfId="74" totalsRowDxfId="73"/>
    <tableColumn id="57" name="Server HW Costs_x000a_(Monthly)" totalsRowFunction="custom" dataDxfId="72" totalsRowDxfId="71" dataCellStyle="Currency">
      <calculatedColumnFormula>IF(OR(ISBLANK(HostBuild[Alias]),HostBuild[Server Tier]="",),0,IF(HostBuild[Server Tier]="SafeNet",Safenet_PSE_PL600+HostBuild[Network Cost],IF(HostBuild[Server Tier]="VMware",HostBuild[New VMware (Adjusted)]+HostBuild[Initial Server Cost],IF(HostBuild[Server Tier]="XI52",IBM_DIA_XI52,HostBuild[Initial Server Cost]))))</calculatedColumnFormula>
      <totalsRowFormula>SUBTOTAL(109,EO2:EO168)</totalsRowFormula>
    </tableColumn>
    <tableColumn id="60" name="Storage Costs_x000a_(Monthly)" totalsRowFunction="custom" dataDxfId="70" totalsRowDxfId="69" dataCellStyle="Currency">
      <calculatedColumnFormula>(Storage_DC_SAN_2014*HostBuild[SAN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calculatedColumnFormula>
      <totalsRowFormula>SUBTOTAL(109,EP2:EP168)</totalsRowFormula>
    </tableColumn>
    <tableColumn id="80" name="Tape Costs_x000a_(Monthly)" totalsRowFunction="sum" dataDxfId="68" totalsRowDxfId="67" dataCellStyle="Currency">
      <calculatedColumnFormula>(HostBuild[Archive
Full (GB)]+HostBuild[Archive
Incr (GB)])*Storage_DC_Dist_Tape_2014</calculatedColumnFormula>
    </tableColumn>
    <tableColumn id="66" name="Total Hardware Costs_x000a_(Monthly)" totalsRowFunction="custom" dataDxfId="66" totalsRowDxfId="65" dataCellStyle="Currency">
      <calculatedColumnFormula>IF(ISNUMBER(HostBuild[Server HW Costs
(Monthly)]),SUM(HostBuild[[#This Row],[Server HW Costs
(Monthly)]:[Tape Costs
(Monthly)]]),0)</calculatedColumnFormula>
      <totalsRowFormula>SUBTOTAL(109,ER2:ER168)</totalsRowFormula>
    </tableColumn>
    <tableColumn id="67" name="Total Server Costs_x000a_[Year 1]_x000a_SW+HW_x000a_(Monthly)" totalsRowFunction="sum" dataDxfId="64" totalsRowDxfId="63" dataCellStyle="Currency">
      <calculatedColumnFormula>HostBuild[Software Costs
'[Year 1']
(Monthly)]+HostBuild[Total Hardware Costs
(Monthly)]</calculatedColumnFormula>
    </tableColumn>
    <tableColumn id="62" name="Total Server Costs_x000a_[After Year 1]_x000a_SW+HW_x000a_(Monthly)" totalsRowFunction="sum" dataDxfId="62" totalsRowDxfId="61" dataCellStyle="Currency">
      <calculatedColumnFormula>IFERROR(IF(FIND("Safenet",HostBuild[Server Model]),Safenet_PSE_PL600_Maint,0),0)+IFERROR(IF(FIND("XI52",HostBuild[Server Model]),IBM_DIA_XI52_Maint,0),0)+HostBuild[Software Costs
'[After Year 1']
(Monthly)]+HostBuild[Total Hardware Costs
(Monthly)]</calculatedColumnFormula>
    </tableColumn>
    <tableColumn id="84" name="Initial Server Cost" dataDxfId="60" totalsRowDxfId="59" dataCellStyle="Currency">
      <calculatedColumnFormula>SUM(HostBuild[[#This Row],[Server Cost Breakdown]:[Network Cost]])</calculatedColumnFormula>
    </tableColumn>
    <tableColumn id="94" name="Total CPUs" dataDxfId="58" totalsRowDxfId="57" dataCellStyle="Currency">
      <calculatedColumnFormula>IF(HostBuild[Existing Server?]="Yes - Inside this BoM",0,SUMIF(HostBuild[Alias],HostBuild[Alias],HostBuild[CPU])+SUMIF(HostBuild[Alias],HostBuild[Alias],HostBuild[Existing CPUs]))</calculatedColumnFormula>
    </tableColumn>
    <tableColumn id="123" name="Total Cores" dataDxfId="56" totalsRowDxfId="55" dataCellStyle="Currency">
      <calculatedColumnFormula>IF(HostBuild[Existing Server?]="Yes - Inside this BoM",0,SUMIF(HostBuild[Alias],HostBuild[Alias],HostBuild[Cores 
(Licensed Units)])+SUMIF(HostBuild[Alias],HostBuild[Alias],HostBuild[Existing Cores]))</calculatedColumnFormula>
    </tableColumn>
    <tableColumn id="95" name="Total RAM" dataDxfId="54" totalsRowDxfId="53" dataCellStyle="Currency">
      <calculatedColumnFormula>IF(HostBuild[Existing Server?]="Yes - Inside this BoM",0,SUMIF(HostBuild[Alias],HostBuild[Alias],HostBuild[RAM 
(GB)])+SUMIF(HostBuild[Alias],HostBuild[Alias],HostBuild[Existing RAM (GB)]))</calculatedColumnFormula>
    </tableColumn>
    <tableColumn id="126" name="Total VMware Costs" dataDxfId="52" totalsRowDxfId="51" dataCellStyle="Currency">
      <calculatedColumnFormula>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calculatedColumnFormula>
    </tableColumn>
    <tableColumn id="127" name="Outside VMware Costs" dataDxfId="50" totalsRowDxfId="49">
      <calculatedColumnFormula>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calculatedColumnFormula>
    </tableColumn>
    <tableColumn id="120" name="Existing VMware Costs" dataDxfId="48" totalsRowDxfId="47" dataCellStyle="Currency">
      <calculatedColumnFormula>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calculatedColumnFormula>
    </tableColumn>
    <tableColumn id="68" name="New VMware (Adjusted)" dataDxfId="46" totalsRowDxfId="45" dataCellStyle="Currency">
      <calculatedColumnFormula>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calculatedColumnFormula>
    </tableColumn>
    <tableColumn id="96" name="Server Cost Breakdown" dataDxfId="44" totalsRowDxfId="43" dataCellStyle="Currency">
      <calculatedColumnFormula>IF(ISBLANK(HostBuild[Server Model]),0,IF(HostBuild[Server Tier]="VMware",0,VLOOKUP(HostBuild[Server Tier],[1]!ServerTierRates[#Data],2,0))*HostBuild[CPU]*IF(AND(HostBuild[Server Type]="pSeries",HostBuild[Virtual Platform Storage Type]="Cloud-SAN"),0.25,1))</calculatedColumnFormula>
    </tableColumn>
    <tableColumn id="122" name="OS/SW Costs" dataDxfId="42" totalsRowDxfId="41" dataCellStyle="Currency">
      <calculatedColumnFormula>0</calculatedColumnFormula>
    </tableColumn>
    <tableColumn id="124" name="VMware Memory" dataDxfId="40" totalsRowDxfId="39" dataCellStyle="Currency">
      <calculatedColumnFormula>IF(HostBuild[Server Type]="VMware",HostBuild[RAM 
(GB)]*IF(ISERROR(FIND("DevCloud", HostBuild[Server Model])&gt;0),vRAM_per_vCPU_2014_Monthly,vRAM_per_vCPU_2014_Daily*30),0)</calculatedColumnFormula>
    </tableColumn>
    <tableColumn id="129" name="New Memory Cost (Initial)" dataDxfId="38" totalsRowDxfId="37" dataCellStyle="Currency">
      <calculatedColumnFormula>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calculatedColumnFormula>
    </tableColumn>
    <tableColumn id="97" name="New Memory Cost (Adjusted)" dataDxfId="36" totalsRowDxfId="35" dataCellStyle="Currency">
      <calculatedColumnFormula>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calculatedColumnFormula>
    </tableColumn>
    <tableColumn id="98" name="Support Cost" dataDxfId="34" totalsRowDxfId="33" dataCellStyle="Currency">
      <calculatedColumnFormula>IF(HostBuild[Server Tier]="VMware",0,IF(LEFT(HostBuild[Existing Server?],3)="Yes",0,IF(OR(HostBuild[Server Type]="Sun",HostBuild[Server Type]="pSeries"),Support_Direct_Server_Sun_per_OS_2014,IF(HostBuild[Server Type]="x86",Support_Direct_Server_x86_Wintel_per_OS_2014,0))))</calculatedColumnFormula>
    </tableColumn>
    <tableColumn id="86" name="Network Cost" dataDxfId="32" totalsRowDxfId="31">
      <calculatedColumnFormula>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calculatedColumnFormula>
    </tableColumn>
  </tableColumns>
  <tableStyleInfo name="TableStyleMedium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
  <sheetViews>
    <sheetView tabSelected="1" workbookViewId="0">
      <selection activeCell="J21" sqref="J21"/>
    </sheetView>
  </sheetViews>
  <sheetFormatPr defaultRowHeight="15"/>
  <cols>
    <col min="1" max="1" width="15.85546875" customWidth="1"/>
    <col min="2" max="2" width="17.85546875" customWidth="1"/>
    <col min="3" max="3" width="7" customWidth="1"/>
    <col min="4" max="4" width="11.28515625" customWidth="1"/>
    <col min="5" max="5" width="11.28515625" bestFit="1" customWidth="1"/>
    <col min="6" max="6" width="11" bestFit="1" customWidth="1"/>
    <col min="8" max="8" width="21.42578125" style="134" customWidth="1"/>
    <col min="9" max="9" width="21.85546875" style="134" customWidth="1"/>
    <col min="10" max="10" width="22.42578125" style="134" customWidth="1"/>
    <col min="11" max="11" width="11.85546875" style="134" customWidth="1"/>
  </cols>
  <sheetData>
    <row r="1" spans="1:11">
      <c r="A1" s="13" t="s">
        <v>231</v>
      </c>
      <c r="B1" s="2" t="s">
        <v>392</v>
      </c>
    </row>
    <row r="3" spans="1:11" ht="15.75" thickBot="1">
      <c r="A3" s="13" t="s">
        <v>380</v>
      </c>
      <c r="B3" s="13" t="s">
        <v>391</v>
      </c>
    </row>
    <row r="4" spans="1:11" ht="28.5" customHeight="1">
      <c r="A4" s="183" t="s">
        <v>378</v>
      </c>
      <c r="B4" s="1" t="s">
        <v>76</v>
      </c>
      <c r="C4" s="1" t="s">
        <v>64</v>
      </c>
      <c r="D4" s="1" t="s">
        <v>379</v>
      </c>
      <c r="F4" s="261" t="s">
        <v>425</v>
      </c>
      <c r="G4" s="261" t="s">
        <v>231</v>
      </c>
      <c r="H4" s="178" t="s">
        <v>395</v>
      </c>
      <c r="I4" s="178" t="s">
        <v>396</v>
      </c>
      <c r="J4" s="178" t="s">
        <v>397</v>
      </c>
      <c r="K4" s="179" t="s">
        <v>398</v>
      </c>
    </row>
    <row r="5" spans="1:11">
      <c r="A5" s="184" t="s">
        <v>52</v>
      </c>
      <c r="B5" s="185"/>
      <c r="C5" s="185">
        <v>0</v>
      </c>
      <c r="D5" s="185">
        <v>0</v>
      </c>
      <c r="F5" s="263" t="s">
        <v>413</v>
      </c>
      <c r="G5" s="260" t="s">
        <v>4</v>
      </c>
      <c r="H5" s="135">
        <v>7515</v>
      </c>
      <c r="I5" s="135">
        <v>0</v>
      </c>
      <c r="J5" s="135">
        <v>22882</v>
      </c>
      <c r="K5" s="180"/>
    </row>
    <row r="6" spans="1:11">
      <c r="A6" s="184" t="s">
        <v>112</v>
      </c>
      <c r="B6" s="185">
        <v>1617.6000000000001</v>
      </c>
      <c r="C6" s="185"/>
      <c r="D6" s="185">
        <v>1617.6000000000001</v>
      </c>
      <c r="F6" s="263" t="s">
        <v>413</v>
      </c>
      <c r="G6" s="260" t="s">
        <v>3</v>
      </c>
      <c r="H6" s="135">
        <v>0</v>
      </c>
      <c r="I6" s="135">
        <v>7515</v>
      </c>
      <c r="J6" s="135">
        <v>26252</v>
      </c>
      <c r="K6" s="180"/>
    </row>
    <row r="7" spans="1:11">
      <c r="A7" s="184" t="s">
        <v>54</v>
      </c>
      <c r="B7" s="185"/>
      <c r="C7" s="185">
        <v>539.19999999999993</v>
      </c>
      <c r="D7" s="185">
        <v>539.19999999999993</v>
      </c>
      <c r="F7" s="263" t="s">
        <v>414</v>
      </c>
      <c r="G7" s="260" t="s">
        <v>4</v>
      </c>
      <c r="H7" s="135">
        <v>2866</v>
      </c>
      <c r="I7" s="135">
        <v>2866</v>
      </c>
      <c r="J7" s="135">
        <v>1400</v>
      </c>
      <c r="K7" s="180"/>
    </row>
    <row r="8" spans="1:11">
      <c r="A8" s="184" t="s">
        <v>0</v>
      </c>
      <c r="B8" s="185">
        <v>13581.1</v>
      </c>
      <c r="C8" s="185">
        <v>6975.9000000000024</v>
      </c>
      <c r="D8" s="185">
        <v>20557.000000000004</v>
      </c>
      <c r="F8" s="263" t="s">
        <v>414</v>
      </c>
      <c r="G8" s="260" t="s">
        <v>3</v>
      </c>
      <c r="H8" s="135">
        <v>2866</v>
      </c>
      <c r="I8" s="135">
        <v>2866</v>
      </c>
      <c r="J8" s="135">
        <v>1933</v>
      </c>
      <c r="K8" s="180"/>
    </row>
    <row r="9" spans="1:11">
      <c r="A9" s="184" t="s">
        <v>189</v>
      </c>
      <c r="B9" s="185">
        <v>13581.1</v>
      </c>
      <c r="C9" s="185"/>
      <c r="D9" s="185">
        <v>13581.1</v>
      </c>
      <c r="F9" s="263"/>
      <c r="G9" s="260" t="s">
        <v>393</v>
      </c>
      <c r="H9" s="135">
        <f>SUM(H5:H8)</f>
        <v>13247</v>
      </c>
      <c r="I9" s="135">
        <f>SUM(I5:I8)</f>
        <v>13247</v>
      </c>
      <c r="J9" s="135">
        <f>SUM(J5:J8)</f>
        <v>52467</v>
      </c>
      <c r="K9" s="180"/>
    </row>
    <row r="10" spans="1:11" ht="15.75" thickBot="1">
      <c r="A10" s="184" t="s">
        <v>1</v>
      </c>
      <c r="B10" s="185">
        <v>7447.7000000000007</v>
      </c>
      <c r="C10" s="185"/>
      <c r="D10" s="185">
        <v>7447.7000000000007</v>
      </c>
      <c r="F10" s="264"/>
      <c r="G10" s="262" t="s">
        <v>394</v>
      </c>
      <c r="H10" s="181">
        <f>H9*20</f>
        <v>264940</v>
      </c>
      <c r="I10" s="181">
        <f>I9*20</f>
        <v>264940</v>
      </c>
      <c r="J10" s="181">
        <f>J9*10</f>
        <v>524670</v>
      </c>
      <c r="K10" s="182">
        <f>SUM(H10:J10)</f>
        <v>1054550</v>
      </c>
    </row>
    <row r="11" spans="1:11">
      <c r="A11" s="184" t="s">
        <v>192</v>
      </c>
      <c r="B11" s="185">
        <v>12907.100000000002</v>
      </c>
      <c r="C11" s="185"/>
      <c r="D11" s="185">
        <v>12907.100000000002</v>
      </c>
    </row>
    <row r="12" spans="1:11">
      <c r="A12" s="184" t="s">
        <v>379</v>
      </c>
      <c r="B12" s="185">
        <v>49134.600000000006</v>
      </c>
      <c r="C12" s="185">
        <v>7515.1000000000022</v>
      </c>
      <c r="D12" s="185">
        <v>56649.700000000012</v>
      </c>
    </row>
    <row r="20" spans="4:7">
      <c r="D20" s="134"/>
      <c r="E20" s="134"/>
      <c r="F20" s="134"/>
      <c r="G20" s="134"/>
    </row>
    <row r="21" spans="4:7">
      <c r="D21" s="134"/>
      <c r="E21" s="134"/>
      <c r="F21" s="134"/>
      <c r="G21" s="134"/>
    </row>
    <row r="22" spans="4:7">
      <c r="D22" s="134"/>
      <c r="E22" s="134"/>
      <c r="F22" s="134"/>
      <c r="G22" s="134"/>
    </row>
    <row r="23" spans="4:7">
      <c r="D23" s="134"/>
      <c r="E23" s="134"/>
      <c r="F23" s="134"/>
      <c r="G23" s="134"/>
    </row>
    <row r="24" spans="4:7">
      <c r="D24" s="134"/>
      <c r="E24" s="134"/>
      <c r="F24" s="134"/>
      <c r="G24" s="134"/>
    </row>
    <row r="25" spans="4:7">
      <c r="D25" s="134"/>
      <c r="E25" s="134"/>
      <c r="F25" s="134"/>
      <c r="G25" s="134"/>
    </row>
    <row r="26" spans="4:7">
      <c r="D26" s="134"/>
      <c r="E26" s="134"/>
      <c r="F26" s="134"/>
      <c r="G26" s="134"/>
    </row>
    <row r="27" spans="4:7">
      <c r="D27" s="134"/>
      <c r="E27" s="134"/>
      <c r="F27" s="134"/>
      <c r="G27" s="134"/>
    </row>
    <row r="28" spans="4:7">
      <c r="D28" s="134"/>
      <c r="E28" s="134"/>
      <c r="F28" s="134"/>
      <c r="G28" s="134"/>
    </row>
    <row r="29" spans="4:7">
      <c r="D29" s="134"/>
      <c r="E29" s="134"/>
      <c r="F29" s="134"/>
      <c r="G29" s="134"/>
    </row>
    <row r="30" spans="4:7">
      <c r="D30" s="134"/>
      <c r="E30" s="134"/>
      <c r="F30" s="134"/>
      <c r="G30" s="134"/>
    </row>
    <row r="31" spans="4:7">
      <c r="D31" s="134"/>
      <c r="E31" s="134"/>
      <c r="F31" s="134"/>
      <c r="G31" s="134"/>
    </row>
  </sheetData>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V647"/>
  <sheetViews>
    <sheetView topLeftCell="N1" workbookViewId="0">
      <selection activeCell="AI171" sqref="AI171"/>
    </sheetView>
  </sheetViews>
  <sheetFormatPr defaultRowHeight="15"/>
  <cols>
    <col min="1" max="1" width="11.5703125" style="157" customWidth="1"/>
    <col min="2" max="2" width="8.140625" style="157" hidden="1" customWidth="1"/>
    <col min="3" max="3" width="8.42578125" style="157" hidden="1" customWidth="1"/>
    <col min="4" max="4" width="26.5703125" style="157" hidden="1" customWidth="1"/>
    <col min="5" max="5" width="14.42578125" style="157" hidden="1" customWidth="1"/>
    <col min="6" max="6" width="13" style="157" hidden="1" customWidth="1"/>
    <col min="7" max="7" width="12.42578125" style="157" hidden="1" customWidth="1"/>
    <col min="8" max="8" width="10.140625" style="157" hidden="1" customWidth="1"/>
    <col min="9" max="9" width="10.5703125" style="157" hidden="1" customWidth="1"/>
    <col min="10" max="10" width="9.5703125" style="157" hidden="1" customWidth="1"/>
    <col min="11" max="11" width="12.140625" style="157" hidden="1" customWidth="1"/>
    <col min="12" max="12" width="11.85546875" style="157" hidden="1" customWidth="1"/>
    <col min="13" max="13" width="14.42578125" style="157" hidden="1" customWidth="1"/>
    <col min="14" max="14" width="9.140625" style="157" customWidth="1"/>
    <col min="15" max="15" width="7.7109375" style="157" hidden="1" customWidth="1"/>
    <col min="16" max="16" width="8.140625" style="2" hidden="1" customWidth="1"/>
    <col min="17" max="17" width="12.28515625" style="2" customWidth="1"/>
    <col min="18" max="19" width="12.28515625" style="157" hidden="1" customWidth="1"/>
    <col min="20" max="20" width="13.5703125" style="157" hidden="1" customWidth="1"/>
    <col min="21" max="21" width="15.85546875" style="157" hidden="1" customWidth="1"/>
    <col min="22" max="22" width="22.7109375" style="157" customWidth="1"/>
    <col min="23" max="23" width="28" style="157" hidden="1" customWidth="1"/>
    <col min="24" max="24" width="7" style="157" customWidth="1"/>
    <col min="25" max="25" width="20.28515625" style="157" customWidth="1"/>
    <col min="26" max="26" width="10.140625" style="157" hidden="1" customWidth="1"/>
    <col min="27" max="27" width="13.5703125" style="157" hidden="1" customWidth="1"/>
    <col min="28" max="28" width="15.85546875" style="157" bestFit="1" customWidth="1"/>
    <col min="29" max="29" width="12.42578125" style="157" hidden="1" customWidth="1"/>
    <col min="30" max="30" width="20.140625" style="157" hidden="1" customWidth="1"/>
    <col min="31" max="31" width="19.5703125" style="157" hidden="1" customWidth="1"/>
    <col min="32" max="32" width="13.42578125" style="157" hidden="1" customWidth="1"/>
    <col min="33" max="33" width="11.140625" style="157" hidden="1" customWidth="1"/>
    <col min="34" max="34" width="2.7109375" style="157" hidden="1" customWidth="1"/>
    <col min="35" max="35" width="27.7109375" style="157" customWidth="1"/>
    <col min="36" max="36" width="10" style="157" hidden="1" customWidth="1"/>
    <col min="37" max="37" width="14.5703125" style="157" hidden="1" customWidth="1"/>
    <col min="38" max="38" width="3.7109375" style="157" hidden="1" customWidth="1"/>
    <col min="39" max="39" width="26.42578125" style="157" hidden="1" customWidth="1"/>
    <col min="40" max="40" width="13.5703125" style="2" hidden="1" customWidth="1"/>
    <col min="41" max="41" width="12.7109375" style="2" hidden="1" customWidth="1"/>
    <col min="42" max="42" width="21.140625" style="2" hidden="1" customWidth="1"/>
    <col min="43" max="43" width="21.28515625" style="2" hidden="1" customWidth="1"/>
    <col min="44" max="44" width="8.85546875" style="2" hidden="1" customWidth="1"/>
    <col min="45" max="45" width="11.28515625" style="2" hidden="1" customWidth="1"/>
    <col min="46" max="46" width="12.5703125" style="2" hidden="1" customWidth="1"/>
    <col min="47" max="47" width="11.42578125" style="2" hidden="1" customWidth="1"/>
    <col min="48" max="49" width="10" style="2" hidden="1" customWidth="1"/>
    <col min="50" max="51" width="11.7109375" style="2" hidden="1" customWidth="1"/>
    <col min="52" max="52" width="13.42578125" style="2" hidden="1" customWidth="1"/>
    <col min="53" max="53" width="13" style="2" hidden="1" customWidth="1"/>
    <col min="54" max="54" width="15" style="2" hidden="1" customWidth="1"/>
    <col min="55" max="55" width="13" style="2" hidden="1" customWidth="1"/>
    <col min="56" max="56" width="15.5703125" style="2" hidden="1" customWidth="1"/>
    <col min="57" max="57" width="13.7109375" style="2" hidden="1" customWidth="1"/>
    <col min="58" max="58" width="13.28515625" style="2" hidden="1" customWidth="1"/>
    <col min="59" max="59" width="10.140625" style="2" hidden="1" customWidth="1"/>
    <col min="60" max="60" width="11.42578125" style="2" hidden="1" customWidth="1"/>
    <col min="61" max="61" width="12.7109375" style="2" hidden="1" customWidth="1"/>
    <col min="62" max="62" width="15.85546875" style="2" hidden="1" customWidth="1"/>
    <col min="63" max="63" width="12.7109375" style="2" customWidth="1"/>
    <col min="64" max="64" width="16.28515625" style="2" hidden="1" customWidth="1"/>
    <col min="65" max="65" width="11" style="134" hidden="1" customWidth="1"/>
    <col min="66" max="66" width="15.7109375" style="2" hidden="1" customWidth="1"/>
    <col min="67" max="67" width="9.85546875" style="2" customWidth="1"/>
    <col min="68" max="68" width="12" style="2" hidden="1" customWidth="1"/>
    <col min="69" max="69" width="12.85546875" style="2" hidden="1" customWidth="1"/>
    <col min="70" max="70" width="11.28515625" style="2" customWidth="1"/>
    <col min="71" max="71" width="13.7109375" style="2" customWidth="1"/>
    <col min="72" max="72" width="10.5703125" style="2" customWidth="1"/>
    <col min="73" max="73" width="11.5703125" style="2" customWidth="1"/>
    <col min="74" max="74" width="10.7109375" style="2" customWidth="1"/>
    <col min="75" max="75" width="9.85546875" style="2" customWidth="1"/>
    <col min="76" max="77" width="10.28515625" style="2" customWidth="1"/>
    <col min="78" max="79" width="2.7109375" style="2" customWidth="1"/>
    <col min="80" max="80" width="13.85546875" style="2" customWidth="1"/>
    <col min="81" max="81" width="14.85546875" style="2" customWidth="1"/>
    <col min="82" max="82" width="14.85546875" style="158" customWidth="1"/>
    <col min="83" max="85" width="14.5703125" style="2" customWidth="1"/>
    <col min="86" max="87" width="15.7109375" style="2" customWidth="1"/>
    <col min="88" max="88" width="46.42578125" style="2" bestFit="1" customWidth="1"/>
    <col min="89" max="89" width="0.42578125" style="2" customWidth="1"/>
    <col min="90" max="117" width="4.85546875" style="2" customWidth="1"/>
    <col min="118" max="119" width="4.85546875" style="136" customWidth="1"/>
    <col min="120" max="138" width="4.85546875" style="2" customWidth="1"/>
    <col min="139" max="139" width="3.85546875" style="2" customWidth="1"/>
    <col min="140" max="141" width="4.85546875" style="2" customWidth="1"/>
    <col min="142" max="142" width="0.42578125" style="2" customWidth="1"/>
    <col min="143" max="149" width="16.7109375" style="2" customWidth="1"/>
    <col min="150" max="151" width="11.7109375" style="2" customWidth="1"/>
    <col min="152" max="161" width="14.7109375" style="2" customWidth="1"/>
    <col min="162" max="164" width="11.7109375" style="2" customWidth="1"/>
    <col min="165" max="165" width="9.140625" style="2" customWidth="1"/>
    <col min="166" max="16384" width="9.140625" style="2"/>
  </cols>
  <sheetData>
    <row r="1" spans="1:178" ht="124.5" customHeight="1">
      <c r="A1" s="3" t="s">
        <v>218</v>
      </c>
      <c r="B1" s="33" t="s">
        <v>219</v>
      </c>
      <c r="C1" s="34" t="s">
        <v>220</v>
      </c>
      <c r="D1" s="34" t="s">
        <v>221</v>
      </c>
      <c r="E1" s="34" t="s">
        <v>222</v>
      </c>
      <c r="F1" s="34" t="s">
        <v>223</v>
      </c>
      <c r="G1" s="34" t="s">
        <v>224</v>
      </c>
      <c r="H1" s="34" t="s">
        <v>225</v>
      </c>
      <c r="I1" s="34" t="s">
        <v>226</v>
      </c>
      <c r="J1" s="34" t="s">
        <v>227</v>
      </c>
      <c r="K1" s="34" t="s">
        <v>228</v>
      </c>
      <c r="L1" s="34" t="s">
        <v>229</v>
      </c>
      <c r="M1" s="34" t="s">
        <v>230</v>
      </c>
      <c r="N1" s="3" t="s">
        <v>231</v>
      </c>
      <c r="O1" s="4" t="s">
        <v>232</v>
      </c>
      <c r="P1" s="4" t="s">
        <v>233</v>
      </c>
      <c r="Q1" s="5" t="s">
        <v>234</v>
      </c>
      <c r="R1" s="119" t="s">
        <v>5</v>
      </c>
      <c r="S1" s="4" t="s">
        <v>235</v>
      </c>
      <c r="T1" s="4" t="s">
        <v>236</v>
      </c>
      <c r="U1" s="4" t="s">
        <v>237</v>
      </c>
      <c r="V1" s="5" t="s">
        <v>238</v>
      </c>
      <c r="W1" s="5" t="s">
        <v>239</v>
      </c>
      <c r="X1" s="3" t="s">
        <v>6</v>
      </c>
      <c r="Y1" s="3" t="s">
        <v>240</v>
      </c>
      <c r="Z1" s="119" t="s">
        <v>241</v>
      </c>
      <c r="AA1" s="4" t="s">
        <v>242</v>
      </c>
      <c r="AB1" s="4" t="s">
        <v>243</v>
      </c>
      <c r="AC1" s="116" t="s">
        <v>244</v>
      </c>
      <c r="AD1" s="4" t="s">
        <v>245</v>
      </c>
      <c r="AE1" s="4" t="s">
        <v>246</v>
      </c>
      <c r="AF1" s="4" t="s">
        <v>247</v>
      </c>
      <c r="AG1" s="4" t="s">
        <v>248</v>
      </c>
      <c r="AH1" s="35" t="s">
        <v>249</v>
      </c>
      <c r="AI1" s="5" t="s">
        <v>250</v>
      </c>
      <c r="AJ1" s="32" t="s">
        <v>251</v>
      </c>
      <c r="AK1" s="4" t="s">
        <v>252</v>
      </c>
      <c r="AL1" s="4" t="s">
        <v>253</v>
      </c>
      <c r="AM1" s="5" t="s">
        <v>254</v>
      </c>
      <c r="AN1" s="118" t="s">
        <v>255</v>
      </c>
      <c r="AO1" s="16" t="s">
        <v>256</v>
      </c>
      <c r="AP1" s="5" t="s">
        <v>257</v>
      </c>
      <c r="AQ1" s="5" t="s">
        <v>258</v>
      </c>
      <c r="AR1" s="17" t="s">
        <v>259</v>
      </c>
      <c r="AS1" s="4" t="s">
        <v>260</v>
      </c>
      <c r="AT1" s="17" t="s">
        <v>261</v>
      </c>
      <c r="AU1" s="117" t="s">
        <v>262</v>
      </c>
      <c r="AV1" s="11" t="s">
        <v>263</v>
      </c>
      <c r="AW1" s="4" t="s">
        <v>264</v>
      </c>
      <c r="AX1" s="4" t="s">
        <v>265</v>
      </c>
      <c r="AY1" s="4" t="s">
        <v>266</v>
      </c>
      <c r="AZ1" s="4" t="s">
        <v>267</v>
      </c>
      <c r="BA1" s="4" t="s">
        <v>268</v>
      </c>
      <c r="BB1" s="6" t="s">
        <v>269</v>
      </c>
      <c r="BC1" s="116" t="s">
        <v>270</v>
      </c>
      <c r="BD1" s="4" t="s">
        <v>271</v>
      </c>
      <c r="BE1" s="4" t="s">
        <v>272</v>
      </c>
      <c r="BF1" s="4" t="s">
        <v>273</v>
      </c>
      <c r="BG1" s="4" t="s">
        <v>274</v>
      </c>
      <c r="BH1" s="4" t="s">
        <v>275</v>
      </c>
      <c r="BI1" s="4" t="s">
        <v>276</v>
      </c>
      <c r="BJ1" s="9" t="s">
        <v>277</v>
      </c>
      <c r="BK1" s="117" t="s">
        <v>278</v>
      </c>
      <c r="BL1" s="5" t="s">
        <v>279</v>
      </c>
      <c r="BM1" s="118" t="s">
        <v>280</v>
      </c>
      <c r="BN1" s="4" t="s">
        <v>281</v>
      </c>
      <c r="BO1" s="118" t="s">
        <v>282</v>
      </c>
      <c r="BP1" s="4" t="s">
        <v>283</v>
      </c>
      <c r="BQ1" s="116" t="s">
        <v>284</v>
      </c>
      <c r="BR1" s="121" t="s">
        <v>285</v>
      </c>
      <c r="BS1" s="117" t="s">
        <v>286</v>
      </c>
      <c r="BT1" s="4" t="s">
        <v>287</v>
      </c>
      <c r="BU1" s="118" t="s">
        <v>288</v>
      </c>
      <c r="BV1" s="4" t="s">
        <v>289</v>
      </c>
      <c r="BW1" s="9" t="s">
        <v>290</v>
      </c>
      <c r="BX1" s="117" t="s">
        <v>291</v>
      </c>
      <c r="BY1" s="16" t="s">
        <v>292</v>
      </c>
      <c r="BZ1" s="29" t="s">
        <v>293</v>
      </c>
      <c r="CA1" s="31" t="s">
        <v>294</v>
      </c>
      <c r="CB1" s="28" t="s">
        <v>295</v>
      </c>
      <c r="CC1" s="4" t="s">
        <v>296</v>
      </c>
      <c r="CD1" s="4" t="s">
        <v>297</v>
      </c>
      <c r="CE1" s="4" t="s">
        <v>298</v>
      </c>
      <c r="CF1" s="6" t="s">
        <v>299</v>
      </c>
      <c r="CG1" s="10" t="s">
        <v>300</v>
      </c>
      <c r="CH1" s="20" t="s">
        <v>301</v>
      </c>
      <c r="CI1" s="20" t="s">
        <v>302</v>
      </c>
      <c r="CJ1" s="30" t="s">
        <v>303</v>
      </c>
      <c r="CK1" s="14" t="s">
        <v>304</v>
      </c>
      <c r="CL1" s="21" t="s">
        <v>305</v>
      </c>
      <c r="CM1" s="24" t="s">
        <v>306</v>
      </c>
      <c r="CN1" s="24" t="s">
        <v>307</v>
      </c>
      <c r="CO1" s="21" t="s">
        <v>308</v>
      </c>
      <c r="CP1" s="21" t="s">
        <v>309</v>
      </c>
      <c r="CQ1" s="21" t="s">
        <v>310</v>
      </c>
      <c r="CR1" s="21" t="s">
        <v>311</v>
      </c>
      <c r="CS1" s="21" t="s">
        <v>312</v>
      </c>
      <c r="CT1" s="21" t="s">
        <v>313</v>
      </c>
      <c r="CU1" s="21" t="s">
        <v>186</v>
      </c>
      <c r="CV1" s="21" t="s">
        <v>314</v>
      </c>
      <c r="CW1" s="21" t="s">
        <v>315</v>
      </c>
      <c r="CX1" s="22" t="s">
        <v>316</v>
      </c>
      <c r="CY1" s="22" t="s">
        <v>317</v>
      </c>
      <c r="CZ1" s="21" t="s">
        <v>318</v>
      </c>
      <c r="DA1" s="21" t="s">
        <v>319</v>
      </c>
      <c r="DB1" s="21" t="s">
        <v>320</v>
      </c>
      <c r="DC1" s="21" t="s">
        <v>321</v>
      </c>
      <c r="DD1" s="21" t="s">
        <v>322</v>
      </c>
      <c r="DE1" s="21" t="s">
        <v>323</v>
      </c>
      <c r="DF1" s="26" t="s">
        <v>324</v>
      </c>
      <c r="DG1" s="26" t="s">
        <v>325</v>
      </c>
      <c r="DH1" s="24" t="s">
        <v>326</v>
      </c>
      <c r="DI1" s="26" t="s">
        <v>327</v>
      </c>
      <c r="DJ1" s="24" t="s">
        <v>328</v>
      </c>
      <c r="DK1" s="23" t="s">
        <v>329</v>
      </c>
      <c r="DL1" s="23" t="s">
        <v>330</v>
      </c>
      <c r="DM1" s="23" t="s">
        <v>331</v>
      </c>
      <c r="DN1" s="23" t="s">
        <v>332</v>
      </c>
      <c r="DO1" s="23" t="s">
        <v>333</v>
      </c>
      <c r="DP1" s="23" t="s">
        <v>334</v>
      </c>
      <c r="DQ1" s="23" t="s">
        <v>335</v>
      </c>
      <c r="DR1" s="23" t="s">
        <v>336</v>
      </c>
      <c r="DS1" s="23" t="s">
        <v>337</v>
      </c>
      <c r="DT1" s="23" t="s">
        <v>338</v>
      </c>
      <c r="DU1" s="23" t="s">
        <v>98</v>
      </c>
      <c r="DV1" s="23" t="s">
        <v>191</v>
      </c>
      <c r="DW1" s="23" t="s">
        <v>339</v>
      </c>
      <c r="DX1" s="23" t="s">
        <v>340</v>
      </c>
      <c r="DY1" s="23" t="s">
        <v>108</v>
      </c>
      <c r="DZ1" s="23" t="s">
        <v>341</v>
      </c>
      <c r="EA1" s="23" t="s">
        <v>342</v>
      </c>
      <c r="EB1" s="21" t="s">
        <v>343</v>
      </c>
      <c r="EC1" s="26" t="s">
        <v>344</v>
      </c>
      <c r="ED1" s="25" t="s">
        <v>345</v>
      </c>
      <c r="EE1" s="23" t="s">
        <v>346</v>
      </c>
      <c r="EF1" s="21" t="s">
        <v>347</v>
      </c>
      <c r="EG1" s="21" t="s">
        <v>348</v>
      </c>
      <c r="EH1" s="21" t="s">
        <v>349</v>
      </c>
      <c r="EI1" s="21" t="s">
        <v>350</v>
      </c>
      <c r="EJ1" s="21" t="s">
        <v>351</v>
      </c>
      <c r="EK1" s="27" t="s">
        <v>352</v>
      </c>
      <c r="EL1" s="15" t="s">
        <v>353</v>
      </c>
      <c r="EM1" s="12" t="s">
        <v>354</v>
      </c>
      <c r="EN1" s="7" t="s">
        <v>355</v>
      </c>
      <c r="EO1" s="18" t="s">
        <v>356</v>
      </c>
      <c r="EP1" s="120" t="s">
        <v>357</v>
      </c>
      <c r="EQ1" s="120" t="s">
        <v>358</v>
      </c>
      <c r="ER1" s="120" t="s">
        <v>359</v>
      </c>
      <c r="ES1" s="19" t="s">
        <v>360</v>
      </c>
      <c r="ET1" s="19" t="s">
        <v>361</v>
      </c>
      <c r="EU1" s="119" t="s">
        <v>362</v>
      </c>
      <c r="EV1" s="119" t="s">
        <v>363</v>
      </c>
      <c r="EW1" s="119" t="s">
        <v>364</v>
      </c>
      <c r="EX1" s="119" t="s">
        <v>365</v>
      </c>
      <c r="EY1" s="119" t="s">
        <v>366</v>
      </c>
      <c r="EZ1" s="119" t="s">
        <v>367</v>
      </c>
      <c r="FA1" s="119" t="s">
        <v>368</v>
      </c>
      <c r="FB1" s="119" t="s">
        <v>369</v>
      </c>
      <c r="FC1" s="118" t="s">
        <v>370</v>
      </c>
      <c r="FD1" s="118" t="s">
        <v>371</v>
      </c>
      <c r="FE1" s="118" t="s">
        <v>372</v>
      </c>
      <c r="FF1" s="118" t="s">
        <v>373</v>
      </c>
      <c r="FG1" s="118" t="s">
        <v>374</v>
      </c>
      <c r="FH1" s="118" t="s">
        <v>375</v>
      </c>
      <c r="FI1" s="118" t="s">
        <v>376</v>
      </c>
    </row>
    <row r="2" spans="1:178" ht="15" hidden="1" customHeight="1">
      <c r="A2" s="122" t="s">
        <v>53</v>
      </c>
      <c r="B2" s="36"/>
      <c r="C2" s="36"/>
      <c r="D2" s="36"/>
      <c r="E2" s="37"/>
      <c r="F2" s="37"/>
      <c r="G2" s="103"/>
      <c r="H2" s="103"/>
      <c r="I2" s="38"/>
      <c r="J2" s="37"/>
      <c r="K2" s="37"/>
      <c r="L2" s="37"/>
      <c r="M2" s="103" t="e">
        <f ca="1">IF(rngIsDate(HostBuild[CTO Acceptance]),"Y","N")</f>
        <v>#NAME?</v>
      </c>
      <c r="N2" s="123" t="s">
        <v>4</v>
      </c>
      <c r="O2" s="39"/>
      <c r="P2" s="39"/>
      <c r="Q2" s="123" t="s">
        <v>54</v>
      </c>
      <c r="R2" s="126" t="str">
        <f>IF(NOT(ISBLANK(HostBuild[Env Label])),IFERROR(VLOOKUP(HostBuild[Env Label],[1]!tEnv[#Data],3,FALSE),""),"")</f>
        <v/>
      </c>
      <c r="S2" s="104"/>
      <c r="T2" s="40"/>
      <c r="U2" s="105"/>
      <c r="V2" s="123" t="s">
        <v>55</v>
      </c>
      <c r="W2" s="123" t="s">
        <v>56</v>
      </c>
      <c r="X2" s="123" t="s">
        <v>57</v>
      </c>
      <c r="Y2" s="123" t="s">
        <v>58</v>
      </c>
      <c r="Z2" s="126" t="str">
        <f>IF(NOT(ISBLANK(HostBuild[[#This Row],[Product 
(Acronym)]])),CONCATENATE(HostBuild[[#This Row],[Type]],"-",HostBuild[[#This Row],[Product 
(Acronym)]]),"")</f>
        <v>AP-ESB</v>
      </c>
      <c r="AA2" s="106"/>
      <c r="AB2" s="106" t="s">
        <v>59</v>
      </c>
      <c r="AC2" s="41"/>
      <c r="AD2" s="42"/>
      <c r="AE2" s="42"/>
      <c r="AF2" s="43" t="s">
        <v>60</v>
      </c>
      <c r="AG2" s="124"/>
      <c r="AH2" s="107"/>
      <c r="AI2" s="124" t="s">
        <v>61</v>
      </c>
      <c r="AJ2" s="123">
        <f>IF(COUNTIF(HostBuild[Alias],HostBuild[Alias]),1/COUNTIF(HostBuild[Alias],HostBuild[Alias]),0)</f>
        <v>1</v>
      </c>
      <c r="AK2" s="124"/>
      <c r="AL2" s="124"/>
      <c r="AM2" s="44" t="s">
        <v>62</v>
      </c>
      <c r="AN2" s="45" t="str">
        <f>IF(NOT(ISBLANK(HostBuild[Server Model])),VLOOKUP(HostBuild[Server Model],[1]!ServerModelsTier[#Data],2,FALSE),"")</f>
        <v>x86 Tier 3</v>
      </c>
      <c r="AO2" s="45" t="str">
        <f>IF(NOT(ISBLANK(HostBuild[Server Model])),VLOOKUP(HostBuild[Server Model],[1]!ServerModelsTier[#Data],5,FALSE),"")</f>
        <v>x86</v>
      </c>
      <c r="AP2" s="44"/>
      <c r="AQ2" s="44" t="s">
        <v>63</v>
      </c>
      <c r="AR2" s="46"/>
      <c r="AS2" s="108"/>
      <c r="AT2" s="47"/>
      <c r="AU2" s="109" t="str">
        <f>IF(IFERROR(FIND("P-Series",HostBuild[Server Tier]),0),CEILING((HostBuild[Existing CPUs]+HostBuild[CPU])*16,8),"")</f>
        <v/>
      </c>
      <c r="AV2" s="48"/>
      <c r="AW2" s="124"/>
      <c r="AX2" s="124"/>
      <c r="AY2" s="124"/>
      <c r="AZ2" s="49"/>
      <c r="BA2" s="124"/>
      <c r="BB2" s="124"/>
      <c r="BC2" s="42"/>
      <c r="BD2" s="124"/>
      <c r="BE2" s="124"/>
      <c r="BF2" s="124"/>
      <c r="BG2" s="124"/>
      <c r="BH2" s="124"/>
      <c r="BI2" s="124"/>
      <c r="BJ2" s="124"/>
      <c r="BK2"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2" s="127">
        <v>60</v>
      </c>
      <c r="BM2" s="129">
        <f>IF(ISNUMBER(HostBuild[Recommended SAN (GB)]),HostBuild[Recommended SAN (GB)])+IF(HostBuild[Additional SAN (GB)]&gt;0,CEILING(HostBuild[Additional SAN (GB)],LUN),-(CEILING(-HostBuild[Additional SAN (GB)],LUN)))</f>
        <v>67.400000000000006</v>
      </c>
      <c r="BN2" s="128"/>
      <c r="BO2" s="129">
        <f>HostBuild[SAN (GB)
NEEDED TODAY]+CEILING(HostBuild[SAN (GB)
RESERVED
DO NOT USE TO BUILD], LUN)</f>
        <v>67.400000000000006</v>
      </c>
      <c r="BP2" s="130"/>
      <c r="BQ2" s="131"/>
      <c r="BR2" s="125" t="s">
        <v>64</v>
      </c>
      <c r="BS2" s="110">
        <f>IF(HostBuild[Existing Server?]&lt;&gt;"Yes - Inside this BoM",IF(ISNUMBER(HostBuild[RAM 
(GB)]),IF(HostBuild[Existing RAM (GB)]+HostBuild[RAM 
(GB)]&gt;0,IF(HostBuild[Virtual Platform Storage Type]="NAS",110+HostBuild[Existing RAM (GB)]+HostBuild[RAM 
(GB)]*1.75,0),0),0),0)</f>
        <v>0</v>
      </c>
      <c r="BT2" s="111"/>
      <c r="BU2" s="112">
        <f>IF(ISNUMBER(HostBuild[Recommended NAS (GB)]),HostBuild[Recommended NAS (GB)])+HostBuild[Additional NAS (GB)]</f>
        <v>0</v>
      </c>
      <c r="BV2" s="50"/>
      <c r="BW2" s="50"/>
      <c r="BX2" s="133">
        <f>IFERROR((HostBuild[SAN (GB)
End-State
DO NOT USE TO BUILD]+HostBuild[SAN (GB) Shared])*25%,"")</f>
        <v>16.850000000000001</v>
      </c>
      <c r="BY2" s="113">
        <f>IFERROR(HostBuild[Archive
Full (GB)]*15%,"")</f>
        <v>2.5275000000000003</v>
      </c>
      <c r="BZ2" s="51"/>
      <c r="CA2" s="51"/>
      <c r="CB2" s="52"/>
      <c r="CC2" s="53"/>
      <c r="CD2" s="52"/>
      <c r="CE2" s="54"/>
      <c r="CF2" s="128"/>
      <c r="CG2" s="114"/>
      <c r="CH2" s="55"/>
      <c r="CI2" s="56"/>
      <c r="CJ2" s="57" t="s">
        <v>65</v>
      </c>
      <c r="CK2" s="58"/>
      <c r="CL2" s="59">
        <f>IFERROR(IF(FIND(CL$1,$W2)&gt;0,IF(INDEX([1]!Product_Pricing_Table[#Data],MATCH(CL$1,Products,0),2)="Cores",IF(HostBuild[Use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 s="59">
        <f>IFERROR(IF(FIND(CM$1,$W2)&gt;0,IF(INDEX([1]!Product_Pricing_Table[#Data],MATCH(CM$1,Products,0),2)="Cores",IF(HostBuild[Use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 s="59">
        <f>IFERROR(IF(FIND(CN$1,$W2)&gt;0,IF(INDEX([1]!Product_Pricing_Table[#Data],MATCH(CN$1,Products,0),2)="Cores",IF(HostBuild[Use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 s="59">
        <f>IFERROR(IF(FIND(CO$1,$W2)&gt;0,IF(INDEX([1]!Product_Pricing_Table[#Data],MATCH(CO$1,Products,0),2)="Cores",IF(HostBuild[Use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 s="59">
        <f>IFERROR(IF(FIND(CP$1,$W2)&gt;0,IF(INDEX([1]!Product_Pricing_Table[#Data],MATCH(CP$1,Products,0),2)="Cores",IF(HostBuild[Use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 s="59">
        <f>IFERROR(IF(FIND(CQ$1,$W2)&gt;0,IF(INDEX([1]!Product_Pricing_Table[#Data],MATCH(CQ$1,Products,0),2)="Cores",IF(HostBuild[Use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 s="59">
        <f>IFERROR(IF(FIND(CR$1,$W2)&gt;0,IF(INDEX([1]!Product_Pricing_Table[#Data],MATCH(CR$1,Products,0),2)="Cores",IF(HostBuild[Use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 s="59">
        <f>IFERROR(IF(FIND(CS$1,$W2)&gt;0,IF(INDEX([1]!Product_Pricing_Table[#Data],MATCH(CS$1,Products,0),2)="Cores",IF(HostBuild[Use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 s="59">
        <f>IFERROR(IF(FIND(CT$1,$W2)&gt;0,IF(INDEX([1]!Product_Pricing_Table[#Data],MATCH(CT$1,Products,0),2)="Cores",IF(HostBuild[Use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 s="59">
        <f>IFERROR(IF(FIND(CU$1,$W2)&gt;0,IF(INDEX([1]!Product_Pricing_Table[#Data],MATCH(CU$1,Products,0),2)="Cores",IF(HostBuild[Use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 s="59">
        <f>IFERROR(IF(FIND(CV$1,$W2)&gt;0,IF(INDEX([1]!Product_Pricing_Table[#Data],MATCH(CV$1,Products,0),2)="Cores",IF(HostBuild[Use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 s="59">
        <f>IFERROR(IF(FIND(CW$1,$W2)&gt;0,IF(INDEX([1]!Product_Pricing_Table[#Data],MATCH(CW$1,Products,0),2)="Cores",IF(HostBuild[Use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 s="59">
        <f>IFERROR(IF(FIND(CX$1,$W2)&gt;0,IF(INDEX([1]!Product_Pricing_Table[#Data],MATCH(CX$1,Products,0),2)="Cores",IF(HostBuild[Use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 s="59">
        <f>IFERROR(IF(FIND(CY$1,$W2)&gt;0,IF(INDEX([1]!Product_Pricing_Table[#Data],MATCH(CY$1,Products,0),2)="Cores",IF(HostBuild[Use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 s="59">
        <f>IFERROR(IF(FIND(CZ$1,$W2)&gt;0,IF(INDEX([1]!Product_Pricing_Table[#Data],MATCH(CZ$1,Products,0),2)="Cores",IF(HostBuild[Use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 s="59">
        <f>IFERROR(IF(FIND(DA$1,$W2)&gt;0,IF(INDEX([1]!Product_Pricing_Table[#Data],MATCH(DA$1,Products,0),2)="Cores",IF(HostBuild[Use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 s="59">
        <f>IFERROR(IF(FIND(DB$1,$W2)&gt;0,IF(INDEX([1]!Product_Pricing_Table[#Data],MATCH(DB$1,Products,0),2)="Cores",IF(HostBuild[Use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 s="59">
        <f>IFERROR(IF(FIND(DC$1,$W2)&gt;0,IF(INDEX([1]!Product_Pricing_Table[#Data],MATCH(DC$1,Products,0),2)="Cores",IF(HostBuild[Use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 s="59">
        <f>IFERROR(IF(FIND(DD$1,$W2)&gt;0,IF(INDEX([1]!Product_Pricing_Table[#Data],MATCH(DD$1,Products,0),2)="Cores",IF(HostBuild[Use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 s="59">
        <f>IFERROR(IF(FIND(DE$1,$W2)&gt;0,IF(INDEX([1]!Product_Pricing_Table[#Data],MATCH(DE$1,Products,0),2)="Cores",IF(HostBuild[Use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 s="60">
        <f>IFERROR(IF(FIND(DF$1,$W2)&gt;0,IF(INDEX([1]!Product_Pricing_Table[#Data],MATCH(DF$1,Products,0),2)="Cores",IF(HostBuild[Use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 s="60">
        <f>IFERROR(IF(FIND(DG$1,$W2)&gt;0,IF(INDEX([1]!Product_Pricing_Table[#Data],MATCH(DG$1,Products,0),2)="Cores",IF(HostBuild[Use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 s="59">
        <f>IFERROR(IF(FIND(DH$1,$W2)&gt;0,IF(INDEX([1]!Product_Pricing_Table[#Data],MATCH(DH$1,Products,0),2)="Cores",IF(HostBuild[Use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 s="60">
        <f>IFERROR(IF(FIND(DI$1,$W2)&gt;0,IF(INDEX([1]!Product_Pricing_Table[#Data],MATCH(DI$1,Products,0),2)="Cores",IF(HostBuild[Use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 s="59">
        <f>IFERROR(IF(FIND(DJ$1,$W2)&gt;0,IF(INDEX([1]!Product_Pricing_Table[#Data],MATCH(DJ$1,Products,0),2)="Cores",IF(HostBuild[Use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 s="59">
        <f>IFERROR(IF(FIND(DK$1,$W2)&gt;0,IF(INDEX([1]!Product_Pricing_Table[#Data],MATCH(DK$1,Products,0),2)="Cores",IF(HostBuild[Use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 s="59">
        <f>IFERROR(IF(FIND(DL$1,$W2)&gt;0,IF(INDEX([1]!Product_Pricing_Table[#Data],MATCH(DL$1,Products,0),2)="Cores",IF(HostBuild[Use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 s="59">
        <f>IFERROR(IF(FIND(DM$1,$W2)&gt;0,IF(INDEX([1]!Product_Pricing_Table[#Data],MATCH(DM$1,Products,0),2)="Cores",IF(HostBuild[Use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 s="59">
        <f>IFERROR(IF(FIND(DN$1,$W2)&gt;0,IF(INDEX([1]!Product_Pricing_Table[#Data],MATCH(DN$1,Products,0),2)="Cores",IF(HostBuild[Use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 s="59">
        <f>IFERROR(IF(FIND(DO$1,$W2)&gt;0,IF(INDEX([1]!Product_Pricing_Table[#Data],MATCH(DO$1,Products,0),2)="Cores",IF(HostBuild[Use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 s="59">
        <f>IFERROR(IF(FIND(DP$1,$W2)&gt;0,IF(INDEX([1]!Product_Pricing_Table[#Data],MATCH(DP$1,Products,0),2)="Cores",IF(HostBuild[Use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 s="59">
        <f>IFERROR(IF(FIND(DQ$1,$W2)&gt;0,IF(INDEX([1]!Product_Pricing_Table[#Data],MATCH(DQ$1,Products,0),2)="Cores",IF(HostBuild[Use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 s="59">
        <f>IFERROR(IF(FIND(DR$1,$W2)&gt;0,IF(INDEX([1]!Product_Pricing_Table[#Data],MATCH(DR$1,Products,0),2)="Cores",IF(HostBuild[Use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 s="59">
        <f>IFERROR(IF(FIND(DS$1,$W2)&gt;0,IF(INDEX([1]!Product_Pricing_Table[#Data],MATCH(DS$1,Products,0),2)="Cores",IF(HostBuild[Use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 s="59">
        <f>IFERROR(IF(FIND(DT$1,$W2)&gt;0,IF(INDEX([1]!Product_Pricing_Table[#Data],MATCH(DT$1,Products,0),2)="Cores",IF(HostBuild[Use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 s="59">
        <f>IFERROR(IF(FIND(DU$1,$W2)&gt;0,IF(INDEX([1]!Product_Pricing_Table[#Data],MATCH(DU$1,Products,0),2)="Cores",IF(HostBuild[Use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 s="59">
        <f>IFERROR(IF(FIND(DV$1,$W2)&gt;0,IF(INDEX([1]!Product_Pricing_Table[#Data],MATCH(DV$1,Products,0),2)="Cores",IF(HostBuild[Use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 s="59">
        <f>IFERROR(IF(FIND(DW$1,$W2)&gt;0,IF(INDEX([1]!Product_Pricing_Table[#Data],MATCH(DW$1,Products,0),2)="Cores",IF(HostBuild[Use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 s="59">
        <f>IFERROR(IF(FIND(DX$1,$W2)&gt;0,IF(INDEX([1]!Product_Pricing_Table[#Data],MATCH(DX$1,Products,0),2)="Cores",IF(HostBuild[Use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 s="59">
        <f>IFERROR(IF(FIND(DY$1,$W2)&gt;0,IF(INDEX([1]!Product_Pricing_Table[#Data],MATCH(DY$1,Products,0),2)="Cores",IF(HostBuild[Use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 s="59">
        <f>IFERROR(IF(FIND(DZ$1,$W2)&gt;0,IF(INDEX([1]!Product_Pricing_Table[#Data],MATCH(DZ$1,Products,0),2)="Cores",IF(HostBuild[Use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 s="59">
        <f>IFERROR(IF(FIND(EA$1,$W2)&gt;0,IF(INDEX([1]!Product_Pricing_Table[#Data],MATCH(EA$1,Products,0),2)="Cores",IF(HostBuild[Use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 s="59">
        <f>IFERROR(IF(FIND(EB$1,$W2)&gt;0,IF(INDEX([1]!Product_Pricing_Table[#Data],MATCH(EB$1,Products,0),2)="Cores",IF(HostBuild[Use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 s="60">
        <f>IFERROR(IF(FIND(EC$1,$W2)&gt;0,IF(INDEX([1]!Product_Pricing_Table[#Data],MATCH(EC$1,Products,0),2)="Cores",IF(HostBuild[Use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 s="59">
        <f>IFERROR(IF(FIND(ED$1,$W2)&gt;0,IF(INDEX([1]!Product_Pricing_Table[#Data],MATCH(ED$1,Products,0),2)="Cores",IF(HostBuild[Use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 s="59">
        <f>IFERROR(IF(FIND(EE$1,$W2)&gt;0,IF(INDEX([1]!Product_Pricing_Table[#Data],MATCH(EE$1,Products,0),2)="Cores",IF(HostBuild[Use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 s="59">
        <f>IFERROR(IF(FIND(EF$1,$W2)&gt;0,IF(INDEX([1]!Product_Pricing_Table[#Data],MATCH(EF$1,Products,0),2)="Cores",IF(HostBuild[Use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 s="59">
        <f>IFERROR(IF(FIND(EG$1,$W2)&gt;0,IF(INDEX([1]!Product_Pricing_Table[#Data],MATCH(EG$1,Products,0),2)="Cores",IF(HostBuild[Use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 s="59">
        <f>IFERROR(IF(FIND(EH$1,$W2)&gt;0,IF(INDEX([1]!Product_Pricing_Table[#Data],MATCH(EH$1,Products,0),2)="Cores",IF(HostBuild[Use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 s="59">
        <f>IFERROR(IF(FIND(EI$1,$W2)&gt;0,IF(INDEX([1]!Product_Pricing_Table[#Data],MATCH(EI$1,Products,0),2)="Cores",IF(HostBuild[Use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 s="59">
        <f>IFERROR(IF(FIND(EJ$1,$W2)&gt;0,IF(INDEX([1]!Product_Pricing_Table[#Data],MATCH(EJ$1,Products,0),2)="Cores",IF(HostBuild[Use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 s="60">
        <f>IFERROR(IF(FIND(EK$1,$W2)&gt;0,IF(INDEX([1]!Product_Pricing_Table[#Data],MATCH(EK$1,Products,0),2)="Cores",IF(HostBuild[Use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 s="61"/>
      <c r="EM2" s="62">
        <v>0</v>
      </c>
      <c r="EN2" s="63">
        <v>0</v>
      </c>
      <c r="EO2"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72.118000000000009</v>
      </c>
      <c r="EQ2" s="132">
        <f>(HostBuild[Archive
Full (GB)]+HostBuild[Archive
Incr (GB)])*Storage_DC_Dist_Tape_2014</f>
        <v>6.7821249999999997</v>
      </c>
      <c r="ER2" s="132">
        <f>IF(ISNUMBER(HostBuild[Server HW Costs
(Monthly)]),SUM(HostBuild[[#This Row],[Server HW Costs
(Monthly)]:[Tape Costs
(Monthly)]]),0)</f>
        <v>78.900125000000003</v>
      </c>
      <c r="ES2" s="65">
        <f>HostBuild[Software Costs
'[Year 1']
(Monthly)]+HostBuild[Total Hardware Costs
(Monthly)]</f>
        <v>78.900125000000003</v>
      </c>
      <c r="ET2" s="65">
        <f>IFERROR(IF(FIND("Safenet",HostBuild[Server Model]),Safenet_PSE_PL600_Maint,0),0)+IFERROR(IF(FIND("XI52",HostBuild[Server Model]),IBM_DIA_XI52_Maint,0),0)+HostBuild[Software Costs
'[After Year 1']
(Monthly)]+HostBuild[Total Hardware Costs
(Monthly)]</f>
        <v>78.900125000000003</v>
      </c>
      <c r="EU2" s="66">
        <f>SUM(HostBuild[[#This Row],[Server Cost Breakdown]:[Network Cost]])</f>
        <v>0</v>
      </c>
      <c r="EV2" s="67">
        <f>IF(HostBuild[Existing Server?]="Yes - Inside this BoM",0,SUMIF(HostBuild[Alias],HostBuild[Alias],HostBuild[CPU])+SUMIF(HostBuild[Alias],HostBuild[Alias],HostBuild[Existing CPUs]))</f>
        <v>0</v>
      </c>
      <c r="EW2" s="67">
        <f>IF(HostBuild[Existing Server?]="Yes - Inside this BoM",0,SUMIF(HostBuild[Alias],HostBuild[Alias],HostBuild[Cores 
(Licensed Units)])+SUMIF(HostBuild[Alias],HostBuild[Alias],HostBuild[Existing Cores]))</f>
        <v>0</v>
      </c>
      <c r="EX2" s="67">
        <f>IF(HostBuild[Existing Server?]="Yes - Inside this BoM",0,SUMIF(HostBuild[Alias],HostBuild[Alias],HostBuild[RAM 
(GB)])+SUMIF(HostBuild[Alias],HostBuild[Alias],HostBuild[Existing RAM (GB)]))</f>
        <v>0</v>
      </c>
      <c r="EY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 s="66">
        <f>IF(ISBLANK(HostBuild[Server Model]),0,IF(HostBuild[Server Tier]="VMware",0,VLOOKUP(HostBuild[Server Tier],[1]!ServerTierRates[#Data],2,0))*HostBuild[CPU]*IF(AND(HostBuild[Server Type]="pSeries",HostBuild[Virtual Platform Storage Type]="Cloud-SAN"),0.25,1))</f>
        <v>0</v>
      </c>
      <c r="FD2" s="66">
        <f>0</f>
        <v>0</v>
      </c>
      <c r="FE2" s="66">
        <f>IF(HostBuild[Server Type]="VMware",HostBuild[RAM 
(GB)]*IF(ISERROR(FIND("DevCloud", HostBuild[Server Model])&gt;0),vRAM_per_vCPU_2014_Monthly,vRAM_per_vCPU_2014_Daily*30),0)</f>
        <v>0</v>
      </c>
      <c r="FF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 s="69">
        <f>IF(HostBuild[Server Tier]="VMware",0,IF(LEFT(HostBuild[Existing Server?],3)="Yes",0,IF(OR(HostBuild[Server Type]="Sun",HostBuild[Server Type]="pSeries"),Support_Direct_Server_Sun_per_OS_2014,IF(HostBuild[Server Type]="x86",Support_Direct_Server_x86_Wintel_per_OS_2014,0))))</f>
        <v>0</v>
      </c>
      <c r="FI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 spans="1:178" ht="15" hidden="1" customHeight="1">
      <c r="A3" s="122" t="s">
        <v>53</v>
      </c>
      <c r="B3" s="36"/>
      <c r="C3" s="36"/>
      <c r="D3" s="36"/>
      <c r="E3" s="37"/>
      <c r="F3" s="37"/>
      <c r="G3" s="103"/>
      <c r="H3" s="103"/>
      <c r="I3" s="38"/>
      <c r="J3" s="37"/>
      <c r="K3" s="37"/>
      <c r="L3" s="37"/>
      <c r="M3" s="103" t="e">
        <f ca="1">IF(rngIsDate(HostBuild[CTO Acceptance]),"Y","N")</f>
        <v>#NAME?</v>
      </c>
      <c r="N3" s="123" t="s">
        <v>4</v>
      </c>
      <c r="O3" s="39"/>
      <c r="P3" s="39"/>
      <c r="Q3" s="123" t="s">
        <v>54</v>
      </c>
      <c r="R3" s="126" t="str">
        <f>IF(NOT(ISBLANK(HostBuild[Env Label])),IFERROR(VLOOKUP(HostBuild[Env Label],[1]!tEnv[#Data],3,FALSE),""),"")</f>
        <v/>
      </c>
      <c r="S3" s="104"/>
      <c r="T3" s="40"/>
      <c r="U3" s="105"/>
      <c r="V3" s="123" t="s">
        <v>55</v>
      </c>
      <c r="W3" s="123" t="s">
        <v>56</v>
      </c>
      <c r="X3" s="123" t="s">
        <v>57</v>
      </c>
      <c r="Y3" s="123" t="s">
        <v>58</v>
      </c>
      <c r="Z3" s="126" t="str">
        <f>IF(NOT(ISBLANK(HostBuild[[#This Row],[Product 
(Acronym)]])),CONCATENATE(HostBuild[[#This Row],[Type]],"-",HostBuild[[#This Row],[Product 
(Acronym)]]),"")</f>
        <v>AP-ESB</v>
      </c>
      <c r="AA3" s="106"/>
      <c r="AB3" s="106" t="s">
        <v>59</v>
      </c>
      <c r="AC3" s="41"/>
      <c r="AD3" s="42"/>
      <c r="AE3" s="42"/>
      <c r="AF3" s="43" t="s">
        <v>60</v>
      </c>
      <c r="AG3" s="124"/>
      <c r="AH3" s="107"/>
      <c r="AI3" s="124" t="s">
        <v>66</v>
      </c>
      <c r="AJ3" s="123">
        <f>IF(COUNTIF(HostBuild[Alias],HostBuild[Alias]),1/COUNTIF(HostBuild[Alias],HostBuild[Alias]),0)</f>
        <v>1</v>
      </c>
      <c r="AK3" s="124"/>
      <c r="AL3" s="124"/>
      <c r="AM3" s="44" t="s">
        <v>62</v>
      </c>
      <c r="AN3" s="45" t="str">
        <f>IF(NOT(ISBLANK(HostBuild[Server Model])),VLOOKUP(HostBuild[Server Model],[1]!ServerModelsTier[#Data],2,FALSE),"")</f>
        <v>x86 Tier 3</v>
      </c>
      <c r="AO3" s="45" t="str">
        <f>IF(NOT(ISBLANK(HostBuild[Server Model])),VLOOKUP(HostBuild[Server Model],[1]!ServerModelsTier[#Data],5,FALSE),"")</f>
        <v>x86</v>
      </c>
      <c r="AP3" s="44"/>
      <c r="AQ3" s="44" t="s">
        <v>63</v>
      </c>
      <c r="AR3" s="46"/>
      <c r="AS3" s="108"/>
      <c r="AT3" s="47"/>
      <c r="AU3" s="109" t="str">
        <f>IF(IFERROR(FIND("P-Series",HostBuild[Server Tier]),0),CEILING((HostBuild[Existing CPUs]+HostBuild[CPU])*16,8),"")</f>
        <v/>
      </c>
      <c r="AV3" s="48"/>
      <c r="AW3" s="124"/>
      <c r="AX3" s="124"/>
      <c r="AY3" s="124"/>
      <c r="AZ3" s="49"/>
      <c r="BA3" s="124"/>
      <c r="BB3" s="124"/>
      <c r="BC3" s="42"/>
      <c r="BD3" s="124"/>
      <c r="BE3" s="124"/>
      <c r="BF3" s="124"/>
      <c r="BG3" s="124"/>
      <c r="BH3" s="124"/>
      <c r="BI3" s="124"/>
      <c r="BJ3" s="124"/>
      <c r="BK3"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3" s="127">
        <v>60</v>
      </c>
      <c r="BM3" s="129">
        <f>IF(ISNUMBER(HostBuild[Recommended SAN (GB)]),HostBuild[Recommended SAN (GB)])+IF(HostBuild[Additional SAN (GB)]&gt;0,CEILING(HostBuild[Additional SAN (GB)],LUN),-(CEILING(-HostBuild[Additional SAN (GB)],LUN)))</f>
        <v>67.400000000000006</v>
      </c>
      <c r="BN3" s="128"/>
      <c r="BO3" s="129">
        <f>HostBuild[SAN (GB)
NEEDED TODAY]+CEILING(HostBuild[SAN (GB)
RESERVED
DO NOT USE TO BUILD], LUN)</f>
        <v>67.400000000000006</v>
      </c>
      <c r="BP3" s="130"/>
      <c r="BQ3" s="131"/>
      <c r="BR3" s="125" t="s">
        <v>64</v>
      </c>
      <c r="BS3" s="110">
        <f>IF(HostBuild[Existing Server?]&lt;&gt;"Yes - Inside this BoM",IF(ISNUMBER(HostBuild[RAM 
(GB)]),IF(HostBuild[Existing RAM (GB)]+HostBuild[RAM 
(GB)]&gt;0,IF(HostBuild[Virtual Platform Storage Type]="NAS",110+HostBuild[Existing RAM (GB)]+HostBuild[RAM 
(GB)]*1.75,0),0),0),0)</f>
        <v>0</v>
      </c>
      <c r="BT3" s="111"/>
      <c r="BU3" s="112">
        <f>IF(ISNUMBER(HostBuild[Recommended NAS (GB)]),HostBuild[Recommended NAS (GB)])+HostBuild[Additional NAS (GB)]</f>
        <v>0</v>
      </c>
      <c r="BV3" s="50"/>
      <c r="BW3" s="50"/>
      <c r="BX3" s="133">
        <f>IFERROR((HostBuild[SAN (GB)
End-State
DO NOT USE TO BUILD]+HostBuild[SAN (GB) Shared])*25%,"")</f>
        <v>16.850000000000001</v>
      </c>
      <c r="BY3" s="113">
        <f>IFERROR(HostBuild[Archive
Full (GB)]*15%,"")</f>
        <v>2.5275000000000003</v>
      </c>
      <c r="BZ3" s="51"/>
      <c r="CA3" s="51"/>
      <c r="CB3" s="52"/>
      <c r="CC3" s="53"/>
      <c r="CD3" s="52"/>
      <c r="CE3" s="54"/>
      <c r="CF3" s="128"/>
      <c r="CG3" s="114"/>
      <c r="CH3" s="55"/>
      <c r="CI3" s="56"/>
      <c r="CJ3" s="57" t="s">
        <v>65</v>
      </c>
      <c r="CK3" s="58"/>
      <c r="CL3" s="59">
        <f>IFERROR(IF(FIND(CL$1,$W3)&gt;0,IF(INDEX([1]!Product_Pricing_Table[#Data],MATCH(CL$1,Products,0),2)="Cores",IF(HostBuild[Use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 s="59">
        <f>IFERROR(IF(FIND(CM$1,$W3)&gt;0,IF(INDEX([1]!Product_Pricing_Table[#Data],MATCH(CM$1,Products,0),2)="Cores",IF(HostBuild[Use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 s="59">
        <f>IFERROR(IF(FIND(CN$1,$W3)&gt;0,IF(INDEX([1]!Product_Pricing_Table[#Data],MATCH(CN$1,Products,0),2)="Cores",IF(HostBuild[Use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 s="59">
        <f>IFERROR(IF(FIND(CO$1,$W3)&gt;0,IF(INDEX([1]!Product_Pricing_Table[#Data],MATCH(CO$1,Products,0),2)="Cores",IF(HostBuild[Use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 s="59">
        <f>IFERROR(IF(FIND(CP$1,$W3)&gt;0,IF(INDEX([1]!Product_Pricing_Table[#Data],MATCH(CP$1,Products,0),2)="Cores",IF(HostBuild[Use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 s="59">
        <f>IFERROR(IF(FIND(CQ$1,$W3)&gt;0,IF(INDEX([1]!Product_Pricing_Table[#Data],MATCH(CQ$1,Products,0),2)="Cores",IF(HostBuild[Use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 s="59">
        <f>IFERROR(IF(FIND(CR$1,$W3)&gt;0,IF(INDEX([1]!Product_Pricing_Table[#Data],MATCH(CR$1,Products,0),2)="Cores",IF(HostBuild[Use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 s="59">
        <f>IFERROR(IF(FIND(CS$1,$W3)&gt;0,IF(INDEX([1]!Product_Pricing_Table[#Data],MATCH(CS$1,Products,0),2)="Cores",IF(HostBuild[Use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 s="59">
        <f>IFERROR(IF(FIND(CT$1,$W3)&gt;0,IF(INDEX([1]!Product_Pricing_Table[#Data],MATCH(CT$1,Products,0),2)="Cores",IF(HostBuild[Use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 s="59">
        <f>IFERROR(IF(FIND(CU$1,$W3)&gt;0,IF(INDEX([1]!Product_Pricing_Table[#Data],MATCH(CU$1,Products,0),2)="Cores",IF(HostBuild[Use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 s="59">
        <f>IFERROR(IF(FIND(CV$1,$W3)&gt;0,IF(INDEX([1]!Product_Pricing_Table[#Data],MATCH(CV$1,Products,0),2)="Cores",IF(HostBuild[Use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 s="59">
        <f>IFERROR(IF(FIND(CW$1,$W3)&gt;0,IF(INDEX([1]!Product_Pricing_Table[#Data],MATCH(CW$1,Products,0),2)="Cores",IF(HostBuild[Use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 s="59">
        <f>IFERROR(IF(FIND(CX$1,$W3)&gt;0,IF(INDEX([1]!Product_Pricing_Table[#Data],MATCH(CX$1,Products,0),2)="Cores",IF(HostBuild[Use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 s="59">
        <f>IFERROR(IF(FIND(CY$1,$W3)&gt;0,IF(INDEX([1]!Product_Pricing_Table[#Data],MATCH(CY$1,Products,0),2)="Cores",IF(HostBuild[Use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 s="59">
        <f>IFERROR(IF(FIND(CZ$1,$W3)&gt;0,IF(INDEX([1]!Product_Pricing_Table[#Data],MATCH(CZ$1,Products,0),2)="Cores",IF(HostBuild[Use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 s="59">
        <f>IFERROR(IF(FIND(DA$1,$W3)&gt;0,IF(INDEX([1]!Product_Pricing_Table[#Data],MATCH(DA$1,Products,0),2)="Cores",IF(HostBuild[Use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 s="59">
        <f>IFERROR(IF(FIND(DB$1,$W3)&gt;0,IF(INDEX([1]!Product_Pricing_Table[#Data],MATCH(DB$1,Products,0),2)="Cores",IF(HostBuild[Use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 s="59">
        <f>IFERROR(IF(FIND(DC$1,$W3)&gt;0,IF(INDEX([1]!Product_Pricing_Table[#Data],MATCH(DC$1,Products,0),2)="Cores",IF(HostBuild[Use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 s="59">
        <f>IFERROR(IF(FIND(DD$1,$W3)&gt;0,IF(INDEX([1]!Product_Pricing_Table[#Data],MATCH(DD$1,Products,0),2)="Cores",IF(HostBuild[Use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 s="59">
        <f>IFERROR(IF(FIND(DE$1,$W3)&gt;0,IF(INDEX([1]!Product_Pricing_Table[#Data],MATCH(DE$1,Products,0),2)="Cores",IF(HostBuild[Use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 s="60">
        <f>IFERROR(IF(FIND(DF$1,$W3)&gt;0,IF(INDEX([1]!Product_Pricing_Table[#Data],MATCH(DF$1,Products,0),2)="Cores",IF(HostBuild[Use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 s="60">
        <f>IFERROR(IF(FIND(DG$1,$W3)&gt;0,IF(INDEX([1]!Product_Pricing_Table[#Data],MATCH(DG$1,Products,0),2)="Cores",IF(HostBuild[Use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 s="59">
        <f>IFERROR(IF(FIND(DH$1,$W3)&gt;0,IF(INDEX([1]!Product_Pricing_Table[#Data],MATCH(DH$1,Products,0),2)="Cores",IF(HostBuild[Use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 s="60">
        <f>IFERROR(IF(FIND(DI$1,$W3)&gt;0,IF(INDEX([1]!Product_Pricing_Table[#Data],MATCH(DI$1,Products,0),2)="Cores",IF(HostBuild[Use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 s="59">
        <f>IFERROR(IF(FIND(DJ$1,$W3)&gt;0,IF(INDEX([1]!Product_Pricing_Table[#Data],MATCH(DJ$1,Products,0),2)="Cores",IF(HostBuild[Use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 s="59">
        <f>IFERROR(IF(FIND(DK$1,$W3)&gt;0,IF(INDEX([1]!Product_Pricing_Table[#Data],MATCH(DK$1,Products,0),2)="Cores",IF(HostBuild[Use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 s="59">
        <f>IFERROR(IF(FIND(DL$1,$W3)&gt;0,IF(INDEX([1]!Product_Pricing_Table[#Data],MATCH(DL$1,Products,0),2)="Cores",IF(HostBuild[Use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 s="59">
        <f>IFERROR(IF(FIND(DM$1,$W3)&gt;0,IF(INDEX([1]!Product_Pricing_Table[#Data],MATCH(DM$1,Products,0),2)="Cores",IF(HostBuild[Use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 s="59">
        <f>IFERROR(IF(FIND(DN$1,$W3)&gt;0,IF(INDEX([1]!Product_Pricing_Table[#Data],MATCH(DN$1,Products,0),2)="Cores",IF(HostBuild[Use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 s="59">
        <f>IFERROR(IF(FIND(DO$1,$W3)&gt;0,IF(INDEX([1]!Product_Pricing_Table[#Data],MATCH(DO$1,Products,0),2)="Cores",IF(HostBuild[Use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 s="59">
        <f>IFERROR(IF(FIND(DP$1,$W3)&gt;0,IF(INDEX([1]!Product_Pricing_Table[#Data],MATCH(DP$1,Products,0),2)="Cores",IF(HostBuild[Use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 s="59">
        <f>IFERROR(IF(FIND(DQ$1,$W3)&gt;0,IF(INDEX([1]!Product_Pricing_Table[#Data],MATCH(DQ$1,Products,0),2)="Cores",IF(HostBuild[Use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 s="59">
        <f>IFERROR(IF(FIND(DR$1,$W3)&gt;0,IF(INDEX([1]!Product_Pricing_Table[#Data],MATCH(DR$1,Products,0),2)="Cores",IF(HostBuild[Use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 s="59">
        <f>IFERROR(IF(FIND(DS$1,$W3)&gt;0,IF(INDEX([1]!Product_Pricing_Table[#Data],MATCH(DS$1,Products,0),2)="Cores",IF(HostBuild[Use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 s="59">
        <f>IFERROR(IF(FIND(DT$1,$W3)&gt;0,IF(INDEX([1]!Product_Pricing_Table[#Data],MATCH(DT$1,Products,0),2)="Cores",IF(HostBuild[Use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 s="59">
        <f>IFERROR(IF(FIND(DU$1,$W3)&gt;0,IF(INDEX([1]!Product_Pricing_Table[#Data],MATCH(DU$1,Products,0),2)="Cores",IF(HostBuild[Use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 s="59">
        <f>IFERROR(IF(FIND(DV$1,$W3)&gt;0,IF(INDEX([1]!Product_Pricing_Table[#Data],MATCH(DV$1,Products,0),2)="Cores",IF(HostBuild[Use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 s="59">
        <f>IFERROR(IF(FIND(DW$1,$W3)&gt;0,IF(INDEX([1]!Product_Pricing_Table[#Data],MATCH(DW$1,Products,0),2)="Cores",IF(HostBuild[Use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 s="59">
        <f>IFERROR(IF(FIND(DX$1,$W3)&gt;0,IF(INDEX([1]!Product_Pricing_Table[#Data],MATCH(DX$1,Products,0),2)="Cores",IF(HostBuild[Use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 s="59">
        <f>IFERROR(IF(FIND(DY$1,$W3)&gt;0,IF(INDEX([1]!Product_Pricing_Table[#Data],MATCH(DY$1,Products,0),2)="Cores",IF(HostBuild[Use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 s="59">
        <f>IFERROR(IF(FIND(DZ$1,$W3)&gt;0,IF(INDEX([1]!Product_Pricing_Table[#Data],MATCH(DZ$1,Products,0),2)="Cores",IF(HostBuild[Use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 s="59">
        <f>IFERROR(IF(FIND(EA$1,$W3)&gt;0,IF(INDEX([1]!Product_Pricing_Table[#Data],MATCH(EA$1,Products,0),2)="Cores",IF(HostBuild[Use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 s="59">
        <f>IFERROR(IF(FIND(EB$1,$W3)&gt;0,IF(INDEX([1]!Product_Pricing_Table[#Data],MATCH(EB$1,Products,0),2)="Cores",IF(HostBuild[Use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 s="60">
        <f>IFERROR(IF(FIND(EC$1,$W3)&gt;0,IF(INDEX([1]!Product_Pricing_Table[#Data],MATCH(EC$1,Products,0),2)="Cores",IF(HostBuild[Use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 s="59">
        <f>IFERROR(IF(FIND(ED$1,$W3)&gt;0,IF(INDEX([1]!Product_Pricing_Table[#Data],MATCH(ED$1,Products,0),2)="Cores",IF(HostBuild[Use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 s="59">
        <f>IFERROR(IF(FIND(EE$1,$W3)&gt;0,IF(INDEX([1]!Product_Pricing_Table[#Data],MATCH(EE$1,Products,0),2)="Cores",IF(HostBuild[Use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 s="59">
        <f>IFERROR(IF(FIND(EF$1,$W3)&gt;0,IF(INDEX([1]!Product_Pricing_Table[#Data],MATCH(EF$1,Products,0),2)="Cores",IF(HostBuild[Use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 s="59">
        <f>IFERROR(IF(FIND(EG$1,$W3)&gt;0,IF(INDEX([1]!Product_Pricing_Table[#Data],MATCH(EG$1,Products,0),2)="Cores",IF(HostBuild[Use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 s="59">
        <f>IFERROR(IF(FIND(EH$1,$W3)&gt;0,IF(INDEX([1]!Product_Pricing_Table[#Data],MATCH(EH$1,Products,0),2)="Cores",IF(HostBuild[Use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 s="59">
        <f>IFERROR(IF(FIND(EI$1,$W3)&gt;0,IF(INDEX([1]!Product_Pricing_Table[#Data],MATCH(EI$1,Products,0),2)="Cores",IF(HostBuild[Use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 s="59">
        <f>IFERROR(IF(FIND(EJ$1,$W3)&gt;0,IF(INDEX([1]!Product_Pricing_Table[#Data],MATCH(EJ$1,Products,0),2)="Cores",IF(HostBuild[Use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 s="60">
        <f>IFERROR(IF(FIND(EK$1,$W3)&gt;0,IF(INDEX([1]!Product_Pricing_Table[#Data],MATCH(EK$1,Products,0),2)="Cores",IF(HostBuild[Use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 s="61"/>
      <c r="EM3" s="62"/>
      <c r="EN3" s="63"/>
      <c r="EO3"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72.118000000000009</v>
      </c>
      <c r="EQ3" s="132">
        <f>(HostBuild[Archive
Full (GB)]+HostBuild[Archive
Incr (GB)])*Storage_DC_Dist_Tape_2014</f>
        <v>6.7821249999999997</v>
      </c>
      <c r="ER3" s="132">
        <f>IF(ISNUMBER(HostBuild[Server HW Costs
(Monthly)]),SUM(HostBuild[[#This Row],[Server HW Costs
(Monthly)]:[Tape Costs
(Monthly)]]),0)</f>
        <v>78.900125000000003</v>
      </c>
      <c r="ES3" s="65">
        <f>HostBuild[Software Costs
'[Year 1']
(Monthly)]+HostBuild[Total Hardware Costs
(Monthly)]</f>
        <v>78.900125000000003</v>
      </c>
      <c r="ET3" s="65">
        <f>IFERROR(IF(FIND("Safenet",HostBuild[Server Model]),Safenet_PSE_PL600_Maint,0),0)+IFERROR(IF(FIND("XI52",HostBuild[Server Model]),IBM_DIA_XI52_Maint,0),0)+HostBuild[Software Costs
'[After Year 1']
(Monthly)]+HostBuild[Total Hardware Costs
(Monthly)]</f>
        <v>78.900125000000003</v>
      </c>
      <c r="EU3" s="66">
        <f>SUM(HostBuild[[#This Row],[Server Cost Breakdown]:[Network Cost]])</f>
        <v>0</v>
      </c>
      <c r="EV3" s="67">
        <f>IF(HostBuild[Existing Server?]="Yes - Inside this BoM",0,SUMIF(HostBuild[Alias],HostBuild[Alias],HostBuild[CPU])+SUMIF(HostBuild[Alias],HostBuild[Alias],HostBuild[Existing CPUs]))</f>
        <v>0</v>
      </c>
      <c r="EW3" s="67">
        <f>IF(HostBuild[Existing Server?]="Yes - Inside this BoM",0,SUMIF(HostBuild[Alias],HostBuild[Alias],HostBuild[Cores 
(Licensed Units)])+SUMIF(HostBuild[Alias],HostBuild[Alias],HostBuild[Existing Cores]))</f>
        <v>0</v>
      </c>
      <c r="EX3" s="67">
        <f>IF(HostBuild[Existing Server?]="Yes - Inside this BoM",0,SUMIF(HostBuild[Alias],HostBuild[Alias],HostBuild[RAM 
(GB)])+SUMIF(HostBuild[Alias],HostBuild[Alias],HostBuild[Existing RAM (GB)]))</f>
        <v>0</v>
      </c>
      <c r="EY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 s="66">
        <f>IF(ISBLANK(HostBuild[Server Model]),0,IF(HostBuild[Server Tier]="VMware",0,VLOOKUP(HostBuild[Server Tier],[1]!ServerTierRates[#Data],2,0))*HostBuild[CPU]*IF(AND(HostBuild[Server Type]="pSeries",HostBuild[Virtual Platform Storage Type]="Cloud-SAN"),0.25,1))</f>
        <v>0</v>
      </c>
      <c r="FD3" s="66">
        <f>0</f>
        <v>0</v>
      </c>
      <c r="FE3" s="66">
        <f>IF(HostBuild[Server Type]="VMware",HostBuild[RAM 
(GB)]*IF(ISERROR(FIND("DevCloud", HostBuild[Server Model])&gt;0),vRAM_per_vCPU_2014_Monthly,vRAM_per_vCPU_2014_Daily*30),0)</f>
        <v>0</v>
      </c>
      <c r="FF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 s="69">
        <f>IF(HostBuild[Server Tier]="VMware",0,IF(LEFT(HostBuild[Existing Server?],3)="Yes",0,IF(OR(HostBuild[Server Type]="Sun",HostBuild[Server Type]="pSeries"),Support_Direct_Server_Sun_per_OS_2014,IF(HostBuild[Server Type]="x86",Support_Direct_Server_x86_Wintel_per_OS_2014,0))))</f>
        <v>0</v>
      </c>
      <c r="FI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 spans="1:178" ht="15" hidden="1" customHeight="1">
      <c r="A4" s="122" t="s">
        <v>53</v>
      </c>
      <c r="B4" s="36"/>
      <c r="C4" s="36"/>
      <c r="D4" s="36"/>
      <c r="E4" s="37"/>
      <c r="F4" s="37"/>
      <c r="G4" s="103"/>
      <c r="H4" s="103"/>
      <c r="I4" s="38"/>
      <c r="J4" s="37"/>
      <c r="K4" s="37"/>
      <c r="L4" s="37"/>
      <c r="M4" s="103" t="e">
        <f ca="1">IF(rngIsDate(HostBuild[CTO Acceptance]),"Y","N")</f>
        <v>#NAME?</v>
      </c>
      <c r="N4" s="123" t="s">
        <v>4</v>
      </c>
      <c r="O4" s="39"/>
      <c r="P4" s="39"/>
      <c r="Q4" s="123" t="s">
        <v>54</v>
      </c>
      <c r="R4" s="126" t="str">
        <f>IF(NOT(ISBLANK(HostBuild[Env Label])),IFERROR(VLOOKUP(HostBuild[Env Label],[1]!tEnv[#Data],3,FALSE),""),"")</f>
        <v/>
      </c>
      <c r="S4" s="104"/>
      <c r="T4" s="40"/>
      <c r="U4" s="105"/>
      <c r="V4" s="123" t="s">
        <v>55</v>
      </c>
      <c r="W4" s="123" t="s">
        <v>56</v>
      </c>
      <c r="X4" s="123" t="s">
        <v>57</v>
      </c>
      <c r="Y4" s="123" t="s">
        <v>58</v>
      </c>
      <c r="Z4" s="126" t="str">
        <f>IF(NOT(ISBLANK(HostBuild[[#This Row],[Product 
(Acronym)]])),CONCATENATE(HostBuild[[#This Row],[Type]],"-",HostBuild[[#This Row],[Product 
(Acronym)]]),"")</f>
        <v>AP-ESB</v>
      </c>
      <c r="AA4" s="106"/>
      <c r="AB4" s="106" t="s">
        <v>59</v>
      </c>
      <c r="AC4" s="41"/>
      <c r="AD4" s="42"/>
      <c r="AE4" s="42"/>
      <c r="AF4" s="43" t="s">
        <v>60</v>
      </c>
      <c r="AG4" s="124"/>
      <c r="AH4" s="107"/>
      <c r="AI4" s="124" t="s">
        <v>67</v>
      </c>
      <c r="AJ4" s="123">
        <f>IF(COUNTIF(HostBuild[Alias],HostBuild[Alias]),1/COUNTIF(HostBuild[Alias],HostBuild[Alias]),0)</f>
        <v>1</v>
      </c>
      <c r="AK4" s="124"/>
      <c r="AL4" s="124"/>
      <c r="AM4" s="44" t="s">
        <v>62</v>
      </c>
      <c r="AN4" s="45" t="str">
        <f>IF(NOT(ISBLANK(HostBuild[Server Model])),VLOOKUP(HostBuild[Server Model],[1]!ServerModelsTier[#Data],2,FALSE),"")</f>
        <v>x86 Tier 3</v>
      </c>
      <c r="AO4" s="45" t="str">
        <f>IF(NOT(ISBLANK(HostBuild[Server Model])),VLOOKUP(HostBuild[Server Model],[1]!ServerModelsTier[#Data],5,FALSE),"")</f>
        <v>x86</v>
      </c>
      <c r="AP4" s="44"/>
      <c r="AQ4" s="44" t="s">
        <v>63</v>
      </c>
      <c r="AR4" s="46"/>
      <c r="AS4" s="108"/>
      <c r="AT4" s="47"/>
      <c r="AU4" s="109" t="str">
        <f>IF(IFERROR(FIND("P-Series",HostBuild[Server Tier]),0),CEILING((HostBuild[Existing CPUs]+HostBuild[CPU])*16,8),"")</f>
        <v/>
      </c>
      <c r="AV4" s="48"/>
      <c r="AW4" s="124"/>
      <c r="AX4" s="124"/>
      <c r="AY4" s="124"/>
      <c r="AZ4" s="49"/>
      <c r="BA4" s="124"/>
      <c r="BB4" s="124"/>
      <c r="BC4" s="42"/>
      <c r="BD4" s="124"/>
      <c r="BE4" s="124"/>
      <c r="BF4" s="124"/>
      <c r="BG4" s="124"/>
      <c r="BH4" s="124"/>
      <c r="BI4" s="124"/>
      <c r="BJ4" s="124"/>
      <c r="BK4"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4" s="127">
        <v>60</v>
      </c>
      <c r="BM4" s="129">
        <f>IF(ISNUMBER(HostBuild[Recommended SAN (GB)]),HostBuild[Recommended SAN (GB)])+IF(HostBuild[Additional SAN (GB)]&gt;0,CEILING(HostBuild[Additional SAN (GB)],LUN),-(CEILING(-HostBuild[Additional SAN (GB)],LUN)))</f>
        <v>67.400000000000006</v>
      </c>
      <c r="BN4" s="128"/>
      <c r="BO4" s="129">
        <f>HostBuild[SAN (GB)
NEEDED TODAY]+CEILING(HostBuild[SAN (GB)
RESERVED
DO NOT USE TO BUILD], LUN)</f>
        <v>67.400000000000006</v>
      </c>
      <c r="BP4" s="130"/>
      <c r="BQ4" s="131"/>
      <c r="BR4" s="125" t="s">
        <v>64</v>
      </c>
      <c r="BS4" s="110">
        <f>IF(HostBuild[Existing Server?]&lt;&gt;"Yes - Inside this BoM",IF(ISNUMBER(HostBuild[RAM 
(GB)]),IF(HostBuild[Existing RAM (GB)]+HostBuild[RAM 
(GB)]&gt;0,IF(HostBuild[Virtual Platform Storage Type]="NAS",110+HostBuild[Existing RAM (GB)]+HostBuild[RAM 
(GB)]*1.75,0),0),0),0)</f>
        <v>0</v>
      </c>
      <c r="BT4" s="111"/>
      <c r="BU4" s="112">
        <f>IF(ISNUMBER(HostBuild[Recommended NAS (GB)]),HostBuild[Recommended NAS (GB)])+HostBuild[Additional NAS (GB)]</f>
        <v>0</v>
      </c>
      <c r="BV4" s="50"/>
      <c r="BW4" s="50"/>
      <c r="BX4" s="133">
        <f>IFERROR((HostBuild[SAN (GB)
End-State
DO NOT USE TO BUILD]+HostBuild[SAN (GB) Shared])*25%,"")</f>
        <v>16.850000000000001</v>
      </c>
      <c r="BY4" s="113">
        <f>IFERROR(HostBuild[Archive
Full (GB)]*15%,"")</f>
        <v>2.5275000000000003</v>
      </c>
      <c r="BZ4" s="51"/>
      <c r="CA4" s="51"/>
      <c r="CB4" s="52"/>
      <c r="CC4" s="53"/>
      <c r="CD4" s="52"/>
      <c r="CE4" s="54"/>
      <c r="CF4" s="128"/>
      <c r="CG4" s="114"/>
      <c r="CH4" s="55"/>
      <c r="CI4" s="56"/>
      <c r="CJ4" s="57" t="s">
        <v>65</v>
      </c>
      <c r="CK4" s="58"/>
      <c r="CL4" s="59">
        <f>IFERROR(IF(FIND(CL$1,$W4)&gt;0,IF(INDEX([1]!Product_Pricing_Table[#Data],MATCH(CL$1,Products,0),2)="Cores",IF(HostBuild[Use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 s="59">
        <f>IFERROR(IF(FIND(CM$1,$W4)&gt;0,IF(INDEX([1]!Product_Pricing_Table[#Data],MATCH(CM$1,Products,0),2)="Cores",IF(HostBuild[Use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 s="59">
        <f>IFERROR(IF(FIND(CN$1,$W4)&gt;0,IF(INDEX([1]!Product_Pricing_Table[#Data],MATCH(CN$1,Products,0),2)="Cores",IF(HostBuild[Use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 s="59">
        <f>IFERROR(IF(FIND(CO$1,$W4)&gt;0,IF(INDEX([1]!Product_Pricing_Table[#Data],MATCH(CO$1,Products,0),2)="Cores",IF(HostBuild[Use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 s="59">
        <f>IFERROR(IF(FIND(CP$1,$W4)&gt;0,IF(INDEX([1]!Product_Pricing_Table[#Data],MATCH(CP$1,Products,0),2)="Cores",IF(HostBuild[Use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 s="59">
        <f>IFERROR(IF(FIND(CQ$1,$W4)&gt;0,IF(INDEX([1]!Product_Pricing_Table[#Data],MATCH(CQ$1,Products,0),2)="Cores",IF(HostBuild[Use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 s="59">
        <f>IFERROR(IF(FIND(CR$1,$W4)&gt;0,IF(INDEX([1]!Product_Pricing_Table[#Data],MATCH(CR$1,Products,0),2)="Cores",IF(HostBuild[Use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 s="59">
        <f>IFERROR(IF(FIND(CS$1,$W4)&gt;0,IF(INDEX([1]!Product_Pricing_Table[#Data],MATCH(CS$1,Products,0),2)="Cores",IF(HostBuild[Use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 s="59">
        <f>IFERROR(IF(FIND(CT$1,$W4)&gt;0,IF(INDEX([1]!Product_Pricing_Table[#Data],MATCH(CT$1,Products,0),2)="Cores",IF(HostBuild[Use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 s="59">
        <f>IFERROR(IF(FIND(CU$1,$W4)&gt;0,IF(INDEX([1]!Product_Pricing_Table[#Data],MATCH(CU$1,Products,0),2)="Cores",IF(HostBuild[Use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 s="59">
        <f>IFERROR(IF(FIND(CV$1,$W4)&gt;0,IF(INDEX([1]!Product_Pricing_Table[#Data],MATCH(CV$1,Products,0),2)="Cores",IF(HostBuild[Use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 s="59">
        <f>IFERROR(IF(FIND(CW$1,$W4)&gt;0,IF(INDEX([1]!Product_Pricing_Table[#Data],MATCH(CW$1,Products,0),2)="Cores",IF(HostBuild[Use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 s="59">
        <f>IFERROR(IF(FIND(CX$1,$W4)&gt;0,IF(INDEX([1]!Product_Pricing_Table[#Data],MATCH(CX$1,Products,0),2)="Cores",IF(HostBuild[Use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 s="59">
        <f>IFERROR(IF(FIND(CY$1,$W4)&gt;0,IF(INDEX([1]!Product_Pricing_Table[#Data],MATCH(CY$1,Products,0),2)="Cores",IF(HostBuild[Use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 s="59">
        <f>IFERROR(IF(FIND(CZ$1,$W4)&gt;0,IF(INDEX([1]!Product_Pricing_Table[#Data],MATCH(CZ$1,Products,0),2)="Cores",IF(HostBuild[Use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 s="59">
        <f>IFERROR(IF(FIND(DA$1,$W4)&gt;0,IF(INDEX([1]!Product_Pricing_Table[#Data],MATCH(DA$1,Products,0),2)="Cores",IF(HostBuild[Use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 s="59">
        <f>IFERROR(IF(FIND(DB$1,$W4)&gt;0,IF(INDEX([1]!Product_Pricing_Table[#Data],MATCH(DB$1,Products,0),2)="Cores",IF(HostBuild[Use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 s="59">
        <f>IFERROR(IF(FIND(DC$1,$W4)&gt;0,IF(INDEX([1]!Product_Pricing_Table[#Data],MATCH(DC$1,Products,0),2)="Cores",IF(HostBuild[Use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 s="59">
        <f>IFERROR(IF(FIND(DD$1,$W4)&gt;0,IF(INDEX([1]!Product_Pricing_Table[#Data],MATCH(DD$1,Products,0),2)="Cores",IF(HostBuild[Use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 s="59">
        <f>IFERROR(IF(FIND(DE$1,$W4)&gt;0,IF(INDEX([1]!Product_Pricing_Table[#Data],MATCH(DE$1,Products,0),2)="Cores",IF(HostBuild[Use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 s="60">
        <f>IFERROR(IF(FIND(DF$1,$W4)&gt;0,IF(INDEX([1]!Product_Pricing_Table[#Data],MATCH(DF$1,Products,0),2)="Cores",IF(HostBuild[Use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 s="60">
        <f>IFERROR(IF(FIND(DG$1,$W4)&gt;0,IF(INDEX([1]!Product_Pricing_Table[#Data],MATCH(DG$1,Products,0),2)="Cores",IF(HostBuild[Use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 s="59">
        <f>IFERROR(IF(FIND(DH$1,$W4)&gt;0,IF(INDEX([1]!Product_Pricing_Table[#Data],MATCH(DH$1,Products,0),2)="Cores",IF(HostBuild[Use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 s="60">
        <f>IFERROR(IF(FIND(DI$1,$W4)&gt;0,IF(INDEX([1]!Product_Pricing_Table[#Data],MATCH(DI$1,Products,0),2)="Cores",IF(HostBuild[Use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 s="59">
        <f>IFERROR(IF(FIND(DJ$1,$W4)&gt;0,IF(INDEX([1]!Product_Pricing_Table[#Data],MATCH(DJ$1,Products,0),2)="Cores",IF(HostBuild[Use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 s="59">
        <f>IFERROR(IF(FIND(DK$1,$W4)&gt;0,IF(INDEX([1]!Product_Pricing_Table[#Data],MATCH(DK$1,Products,0),2)="Cores",IF(HostBuild[Use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 s="59">
        <f>IFERROR(IF(FIND(DL$1,$W4)&gt;0,IF(INDEX([1]!Product_Pricing_Table[#Data],MATCH(DL$1,Products,0),2)="Cores",IF(HostBuild[Use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 s="59">
        <f>IFERROR(IF(FIND(DM$1,$W4)&gt;0,IF(INDEX([1]!Product_Pricing_Table[#Data],MATCH(DM$1,Products,0),2)="Cores",IF(HostBuild[Use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 s="59">
        <f>IFERROR(IF(FIND(DN$1,$W4)&gt;0,IF(INDEX([1]!Product_Pricing_Table[#Data],MATCH(DN$1,Products,0),2)="Cores",IF(HostBuild[Use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 s="59">
        <f>IFERROR(IF(FIND(DO$1,$W4)&gt;0,IF(INDEX([1]!Product_Pricing_Table[#Data],MATCH(DO$1,Products,0),2)="Cores",IF(HostBuild[Use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 s="59">
        <f>IFERROR(IF(FIND(DP$1,$W4)&gt;0,IF(INDEX([1]!Product_Pricing_Table[#Data],MATCH(DP$1,Products,0),2)="Cores",IF(HostBuild[Use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 s="59">
        <f>IFERROR(IF(FIND(DQ$1,$W4)&gt;0,IF(INDEX([1]!Product_Pricing_Table[#Data],MATCH(DQ$1,Products,0),2)="Cores",IF(HostBuild[Use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 s="59">
        <f>IFERROR(IF(FIND(DR$1,$W4)&gt;0,IF(INDEX([1]!Product_Pricing_Table[#Data],MATCH(DR$1,Products,0),2)="Cores",IF(HostBuild[Use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 s="59">
        <f>IFERROR(IF(FIND(DS$1,$W4)&gt;0,IF(INDEX([1]!Product_Pricing_Table[#Data],MATCH(DS$1,Products,0),2)="Cores",IF(HostBuild[Use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 s="59">
        <f>IFERROR(IF(FIND(DT$1,$W4)&gt;0,IF(INDEX([1]!Product_Pricing_Table[#Data],MATCH(DT$1,Products,0),2)="Cores",IF(HostBuild[Use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 s="59">
        <f>IFERROR(IF(FIND(DU$1,$W4)&gt;0,IF(INDEX([1]!Product_Pricing_Table[#Data],MATCH(DU$1,Products,0),2)="Cores",IF(HostBuild[Use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 s="59">
        <f>IFERROR(IF(FIND(DV$1,$W4)&gt;0,IF(INDEX([1]!Product_Pricing_Table[#Data],MATCH(DV$1,Products,0),2)="Cores",IF(HostBuild[Use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 s="59">
        <f>IFERROR(IF(FIND(DW$1,$W4)&gt;0,IF(INDEX([1]!Product_Pricing_Table[#Data],MATCH(DW$1,Products,0),2)="Cores",IF(HostBuild[Use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 s="59">
        <f>IFERROR(IF(FIND(DX$1,$W4)&gt;0,IF(INDEX([1]!Product_Pricing_Table[#Data],MATCH(DX$1,Products,0),2)="Cores",IF(HostBuild[Use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 s="59">
        <f>IFERROR(IF(FIND(DY$1,$W4)&gt;0,IF(INDEX([1]!Product_Pricing_Table[#Data],MATCH(DY$1,Products,0),2)="Cores",IF(HostBuild[Use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 s="59">
        <f>IFERROR(IF(FIND(DZ$1,$W4)&gt;0,IF(INDEX([1]!Product_Pricing_Table[#Data],MATCH(DZ$1,Products,0),2)="Cores",IF(HostBuild[Use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 s="59">
        <f>IFERROR(IF(FIND(EA$1,$W4)&gt;0,IF(INDEX([1]!Product_Pricing_Table[#Data],MATCH(EA$1,Products,0),2)="Cores",IF(HostBuild[Use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 s="59">
        <f>IFERROR(IF(FIND(EB$1,$W4)&gt;0,IF(INDEX([1]!Product_Pricing_Table[#Data],MATCH(EB$1,Products,0),2)="Cores",IF(HostBuild[Use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 s="60">
        <f>IFERROR(IF(FIND(EC$1,$W4)&gt;0,IF(INDEX([1]!Product_Pricing_Table[#Data],MATCH(EC$1,Products,0),2)="Cores",IF(HostBuild[Use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 s="59">
        <f>IFERROR(IF(FIND(ED$1,$W4)&gt;0,IF(INDEX([1]!Product_Pricing_Table[#Data],MATCH(ED$1,Products,0),2)="Cores",IF(HostBuild[Use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 s="59">
        <f>IFERROR(IF(FIND(EE$1,$W4)&gt;0,IF(INDEX([1]!Product_Pricing_Table[#Data],MATCH(EE$1,Products,0),2)="Cores",IF(HostBuild[Use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 s="59">
        <f>IFERROR(IF(FIND(EF$1,$W4)&gt;0,IF(INDEX([1]!Product_Pricing_Table[#Data],MATCH(EF$1,Products,0),2)="Cores",IF(HostBuild[Use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 s="59">
        <f>IFERROR(IF(FIND(EG$1,$W4)&gt;0,IF(INDEX([1]!Product_Pricing_Table[#Data],MATCH(EG$1,Products,0),2)="Cores",IF(HostBuild[Use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 s="59">
        <f>IFERROR(IF(FIND(EH$1,$W4)&gt;0,IF(INDEX([1]!Product_Pricing_Table[#Data],MATCH(EH$1,Products,0),2)="Cores",IF(HostBuild[Use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 s="59">
        <f>IFERROR(IF(FIND(EI$1,$W4)&gt;0,IF(INDEX([1]!Product_Pricing_Table[#Data],MATCH(EI$1,Products,0),2)="Cores",IF(HostBuild[Use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 s="59">
        <f>IFERROR(IF(FIND(EJ$1,$W4)&gt;0,IF(INDEX([1]!Product_Pricing_Table[#Data],MATCH(EJ$1,Products,0),2)="Cores",IF(HostBuild[Use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 s="60">
        <f>IFERROR(IF(FIND(EK$1,$W4)&gt;0,IF(INDEX([1]!Product_Pricing_Table[#Data],MATCH(EK$1,Products,0),2)="Cores",IF(HostBuild[Use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 s="61"/>
      <c r="EM4" s="62"/>
      <c r="EN4" s="63"/>
      <c r="EO4"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72.118000000000009</v>
      </c>
      <c r="EQ4" s="132">
        <f>(HostBuild[Archive
Full (GB)]+HostBuild[Archive
Incr (GB)])*Storage_DC_Dist_Tape_2014</f>
        <v>6.7821249999999997</v>
      </c>
      <c r="ER4" s="132">
        <f>IF(ISNUMBER(HostBuild[Server HW Costs
(Monthly)]),SUM(HostBuild[[#This Row],[Server HW Costs
(Monthly)]:[Tape Costs
(Monthly)]]),0)</f>
        <v>78.900125000000003</v>
      </c>
      <c r="ES4" s="65">
        <f>HostBuild[Software Costs
'[Year 1']
(Monthly)]+HostBuild[Total Hardware Costs
(Monthly)]</f>
        <v>78.900125000000003</v>
      </c>
      <c r="ET4" s="65">
        <f>IFERROR(IF(FIND("Safenet",HostBuild[Server Model]),Safenet_PSE_PL600_Maint,0),0)+IFERROR(IF(FIND("XI52",HostBuild[Server Model]),IBM_DIA_XI52_Maint,0),0)+HostBuild[Software Costs
'[After Year 1']
(Monthly)]+HostBuild[Total Hardware Costs
(Monthly)]</f>
        <v>78.900125000000003</v>
      </c>
      <c r="EU4" s="66">
        <f>SUM(HostBuild[[#This Row],[Server Cost Breakdown]:[Network Cost]])</f>
        <v>0</v>
      </c>
      <c r="EV4" s="67">
        <f>IF(HostBuild[Existing Server?]="Yes - Inside this BoM",0,SUMIF(HostBuild[Alias],HostBuild[Alias],HostBuild[CPU])+SUMIF(HostBuild[Alias],HostBuild[Alias],HostBuild[Existing CPUs]))</f>
        <v>0</v>
      </c>
      <c r="EW4" s="67">
        <f>IF(HostBuild[Existing Server?]="Yes - Inside this BoM",0,SUMIF(HostBuild[Alias],HostBuild[Alias],HostBuild[Cores 
(Licensed Units)])+SUMIF(HostBuild[Alias],HostBuild[Alias],HostBuild[Existing Cores]))</f>
        <v>0</v>
      </c>
      <c r="EX4" s="67">
        <f>IF(HostBuild[Existing Server?]="Yes - Inside this BoM",0,SUMIF(HostBuild[Alias],HostBuild[Alias],HostBuild[RAM 
(GB)])+SUMIF(HostBuild[Alias],HostBuild[Alias],HostBuild[Existing RAM (GB)]))</f>
        <v>0</v>
      </c>
      <c r="EY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 s="66">
        <f>IF(ISBLANK(HostBuild[Server Model]),0,IF(HostBuild[Server Tier]="VMware",0,VLOOKUP(HostBuild[Server Tier],[1]!ServerTierRates[#Data],2,0))*HostBuild[CPU]*IF(AND(HostBuild[Server Type]="pSeries",HostBuild[Virtual Platform Storage Type]="Cloud-SAN"),0.25,1))</f>
        <v>0</v>
      </c>
      <c r="FD4" s="66">
        <f>0</f>
        <v>0</v>
      </c>
      <c r="FE4" s="66">
        <f>IF(HostBuild[Server Type]="VMware",HostBuild[RAM 
(GB)]*IF(ISERROR(FIND("DevCloud", HostBuild[Server Model])&gt;0),vRAM_per_vCPU_2014_Monthly,vRAM_per_vCPU_2014_Daily*30),0)</f>
        <v>0</v>
      </c>
      <c r="FF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 s="69">
        <f>IF(HostBuild[Server Tier]="VMware",0,IF(LEFT(HostBuild[Existing Server?],3)="Yes",0,IF(OR(HostBuild[Server Type]="Sun",HostBuild[Server Type]="pSeries"),Support_Direct_Server_Sun_per_OS_2014,IF(HostBuild[Server Type]="x86",Support_Direct_Server_x86_Wintel_per_OS_2014,0))))</f>
        <v>0</v>
      </c>
      <c r="FI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 spans="1:178" ht="15" hidden="1" customHeight="1">
      <c r="A5" s="122" t="s">
        <v>53</v>
      </c>
      <c r="B5" s="36"/>
      <c r="C5" s="36"/>
      <c r="D5" s="36"/>
      <c r="E5" s="37"/>
      <c r="F5" s="37"/>
      <c r="G5" s="103"/>
      <c r="H5" s="103"/>
      <c r="I5" s="38"/>
      <c r="J5" s="37"/>
      <c r="K5" s="37"/>
      <c r="L5" s="37"/>
      <c r="M5" s="103" t="e">
        <f ca="1">IF(rngIsDate(HostBuild[CTO Acceptance]),"Y","N")</f>
        <v>#NAME?</v>
      </c>
      <c r="N5" s="123" t="s">
        <v>4</v>
      </c>
      <c r="O5" s="39"/>
      <c r="P5" s="39"/>
      <c r="Q5" s="123" t="s">
        <v>54</v>
      </c>
      <c r="R5" s="126" t="str">
        <f>IF(NOT(ISBLANK(HostBuild[Env Label])),IFERROR(VLOOKUP(HostBuild[Env Label],[1]!tEnv[#Data],3,FALSE),""),"")</f>
        <v/>
      </c>
      <c r="S5" s="104"/>
      <c r="T5" s="40"/>
      <c r="U5" s="105"/>
      <c r="V5" s="123" t="s">
        <v>55</v>
      </c>
      <c r="W5" s="123" t="s">
        <v>56</v>
      </c>
      <c r="X5" s="123" t="s">
        <v>57</v>
      </c>
      <c r="Y5" s="123" t="s">
        <v>58</v>
      </c>
      <c r="Z5" s="126" t="str">
        <f>IF(NOT(ISBLANK(HostBuild[[#This Row],[Product 
(Acronym)]])),CONCATENATE(HostBuild[[#This Row],[Type]],"-",HostBuild[[#This Row],[Product 
(Acronym)]]),"")</f>
        <v>AP-ESB</v>
      </c>
      <c r="AA5" s="106"/>
      <c r="AB5" s="106" t="s">
        <v>59</v>
      </c>
      <c r="AC5" s="41"/>
      <c r="AD5" s="42"/>
      <c r="AE5" s="42"/>
      <c r="AF5" s="43" t="s">
        <v>60</v>
      </c>
      <c r="AG5" s="124"/>
      <c r="AH5" s="107"/>
      <c r="AI5" s="124" t="s">
        <v>68</v>
      </c>
      <c r="AJ5" s="123">
        <f>IF(COUNTIF(HostBuild[Alias],HostBuild[Alias]),1/COUNTIF(HostBuild[Alias],HostBuild[Alias]),0)</f>
        <v>1</v>
      </c>
      <c r="AK5" s="124"/>
      <c r="AL5" s="124"/>
      <c r="AM5" s="44" t="s">
        <v>62</v>
      </c>
      <c r="AN5" s="45" t="str">
        <f>IF(NOT(ISBLANK(HostBuild[Server Model])),VLOOKUP(HostBuild[Server Model],[1]!ServerModelsTier[#Data],2,FALSE),"")</f>
        <v>x86 Tier 3</v>
      </c>
      <c r="AO5" s="45" t="str">
        <f>IF(NOT(ISBLANK(HostBuild[Server Model])),VLOOKUP(HostBuild[Server Model],[1]!ServerModelsTier[#Data],5,FALSE),"")</f>
        <v>x86</v>
      </c>
      <c r="AP5" s="44"/>
      <c r="AQ5" s="44" t="s">
        <v>63</v>
      </c>
      <c r="AR5" s="46"/>
      <c r="AS5" s="108"/>
      <c r="AT5" s="47"/>
      <c r="AU5" s="109" t="str">
        <f>IF(IFERROR(FIND("P-Series",HostBuild[Server Tier]),0),CEILING((HostBuild[Existing CPUs]+HostBuild[CPU])*16,8),"")</f>
        <v/>
      </c>
      <c r="AV5" s="48"/>
      <c r="AW5" s="124"/>
      <c r="AX5" s="124"/>
      <c r="AY5" s="124"/>
      <c r="AZ5" s="49"/>
      <c r="BA5" s="124"/>
      <c r="BB5" s="124"/>
      <c r="BC5" s="42"/>
      <c r="BD5" s="124"/>
      <c r="BE5" s="124"/>
      <c r="BF5" s="124"/>
      <c r="BG5" s="124"/>
      <c r="BH5" s="124"/>
      <c r="BI5" s="124"/>
      <c r="BJ5" s="124"/>
      <c r="BK5"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5" s="127">
        <v>60</v>
      </c>
      <c r="BM5" s="129">
        <f>IF(ISNUMBER(HostBuild[Recommended SAN (GB)]),HostBuild[Recommended SAN (GB)])+IF(HostBuild[Additional SAN (GB)]&gt;0,CEILING(HostBuild[Additional SAN (GB)],LUN),-(CEILING(-HostBuild[Additional SAN (GB)],LUN)))</f>
        <v>67.400000000000006</v>
      </c>
      <c r="BN5" s="128"/>
      <c r="BO5" s="129">
        <f>HostBuild[SAN (GB)
NEEDED TODAY]+CEILING(HostBuild[SAN (GB)
RESERVED
DO NOT USE TO BUILD], LUN)</f>
        <v>67.400000000000006</v>
      </c>
      <c r="BP5" s="130"/>
      <c r="BQ5" s="131"/>
      <c r="BR5" s="125" t="s">
        <v>64</v>
      </c>
      <c r="BS5" s="110">
        <f>IF(HostBuild[Existing Server?]&lt;&gt;"Yes - Inside this BoM",IF(ISNUMBER(HostBuild[RAM 
(GB)]),IF(HostBuild[Existing RAM (GB)]+HostBuild[RAM 
(GB)]&gt;0,IF(HostBuild[Virtual Platform Storage Type]="NAS",110+HostBuild[Existing RAM (GB)]+HostBuild[RAM 
(GB)]*1.75,0),0),0),0)</f>
        <v>0</v>
      </c>
      <c r="BT5" s="111"/>
      <c r="BU5" s="112">
        <f>IF(ISNUMBER(HostBuild[Recommended NAS (GB)]),HostBuild[Recommended NAS (GB)])+HostBuild[Additional NAS (GB)]</f>
        <v>0</v>
      </c>
      <c r="BV5" s="50"/>
      <c r="BW5" s="50"/>
      <c r="BX5" s="133">
        <f>IFERROR((HostBuild[SAN (GB)
End-State
DO NOT USE TO BUILD]+HostBuild[SAN (GB) Shared])*25%,"")</f>
        <v>16.850000000000001</v>
      </c>
      <c r="BY5" s="113">
        <f>IFERROR(HostBuild[Archive
Full (GB)]*15%,"")</f>
        <v>2.5275000000000003</v>
      </c>
      <c r="BZ5" s="51"/>
      <c r="CA5" s="51"/>
      <c r="CB5" s="52"/>
      <c r="CC5" s="53"/>
      <c r="CD5" s="52"/>
      <c r="CE5" s="54"/>
      <c r="CF5" s="128"/>
      <c r="CG5" s="114"/>
      <c r="CH5" s="55"/>
      <c r="CI5" s="56"/>
      <c r="CJ5" s="57" t="s">
        <v>65</v>
      </c>
      <c r="CK5" s="58"/>
      <c r="CL5" s="59">
        <f>IFERROR(IF(FIND(CL$1,$W5)&gt;0,IF(INDEX([1]!Product_Pricing_Table[#Data],MATCH(CL$1,Products,0),2)="Cores",IF(HostBuild[Use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 s="59">
        <f>IFERROR(IF(FIND(CM$1,$W5)&gt;0,IF(INDEX([1]!Product_Pricing_Table[#Data],MATCH(CM$1,Products,0),2)="Cores",IF(HostBuild[Use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5" s="59">
        <f>IFERROR(IF(FIND(CN$1,$W5)&gt;0,IF(INDEX([1]!Product_Pricing_Table[#Data],MATCH(CN$1,Products,0),2)="Cores",IF(HostBuild[Use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 s="59">
        <f>IFERROR(IF(FIND(CO$1,$W5)&gt;0,IF(INDEX([1]!Product_Pricing_Table[#Data],MATCH(CO$1,Products,0),2)="Cores",IF(HostBuild[Use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 s="59">
        <f>IFERROR(IF(FIND(CP$1,$W5)&gt;0,IF(INDEX([1]!Product_Pricing_Table[#Data],MATCH(CP$1,Products,0),2)="Cores",IF(HostBuild[Use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 s="59">
        <f>IFERROR(IF(FIND(CQ$1,$W5)&gt;0,IF(INDEX([1]!Product_Pricing_Table[#Data],MATCH(CQ$1,Products,0),2)="Cores",IF(HostBuild[Use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 s="59">
        <f>IFERROR(IF(FIND(CR$1,$W5)&gt;0,IF(INDEX([1]!Product_Pricing_Table[#Data],MATCH(CR$1,Products,0),2)="Cores",IF(HostBuild[Use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 s="59">
        <f>IFERROR(IF(FIND(CS$1,$W5)&gt;0,IF(INDEX([1]!Product_Pricing_Table[#Data],MATCH(CS$1,Products,0),2)="Cores",IF(HostBuild[Use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 s="59">
        <f>IFERROR(IF(FIND(CT$1,$W5)&gt;0,IF(INDEX([1]!Product_Pricing_Table[#Data],MATCH(CT$1,Products,0),2)="Cores",IF(HostBuild[Use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 s="59">
        <f>IFERROR(IF(FIND(CU$1,$W5)&gt;0,IF(INDEX([1]!Product_Pricing_Table[#Data],MATCH(CU$1,Products,0),2)="Cores",IF(HostBuild[Use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 s="59">
        <f>IFERROR(IF(FIND(CV$1,$W5)&gt;0,IF(INDEX([1]!Product_Pricing_Table[#Data],MATCH(CV$1,Products,0),2)="Cores",IF(HostBuild[Use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 s="59">
        <f>IFERROR(IF(FIND(CW$1,$W5)&gt;0,IF(INDEX([1]!Product_Pricing_Table[#Data],MATCH(CW$1,Products,0),2)="Cores",IF(HostBuild[Use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 s="59">
        <f>IFERROR(IF(FIND(CX$1,$W5)&gt;0,IF(INDEX([1]!Product_Pricing_Table[#Data],MATCH(CX$1,Products,0),2)="Cores",IF(HostBuild[Use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 s="59">
        <f>IFERROR(IF(FIND(CY$1,$W5)&gt;0,IF(INDEX([1]!Product_Pricing_Table[#Data],MATCH(CY$1,Products,0),2)="Cores",IF(HostBuild[Use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 s="59">
        <f>IFERROR(IF(FIND(CZ$1,$W5)&gt;0,IF(INDEX([1]!Product_Pricing_Table[#Data],MATCH(CZ$1,Products,0),2)="Cores",IF(HostBuild[Use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 s="59">
        <f>IFERROR(IF(FIND(DA$1,$W5)&gt;0,IF(INDEX([1]!Product_Pricing_Table[#Data],MATCH(DA$1,Products,0),2)="Cores",IF(HostBuild[Use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 s="59">
        <f>IFERROR(IF(FIND(DB$1,$W5)&gt;0,IF(INDEX([1]!Product_Pricing_Table[#Data],MATCH(DB$1,Products,0),2)="Cores",IF(HostBuild[Use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 s="59">
        <f>IFERROR(IF(FIND(DC$1,$W5)&gt;0,IF(INDEX([1]!Product_Pricing_Table[#Data],MATCH(DC$1,Products,0),2)="Cores",IF(HostBuild[Use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 s="59">
        <f>IFERROR(IF(FIND(DD$1,$W5)&gt;0,IF(INDEX([1]!Product_Pricing_Table[#Data],MATCH(DD$1,Products,0),2)="Cores",IF(HostBuild[Use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 s="59">
        <f>IFERROR(IF(FIND(DE$1,$W5)&gt;0,IF(INDEX([1]!Product_Pricing_Table[#Data],MATCH(DE$1,Products,0),2)="Cores",IF(HostBuild[Use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 s="60">
        <f>IFERROR(IF(FIND(DF$1,$W5)&gt;0,IF(INDEX([1]!Product_Pricing_Table[#Data],MATCH(DF$1,Products,0),2)="Cores",IF(HostBuild[Use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 s="60">
        <f>IFERROR(IF(FIND(DG$1,$W5)&gt;0,IF(INDEX([1]!Product_Pricing_Table[#Data],MATCH(DG$1,Products,0),2)="Cores",IF(HostBuild[Use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 s="59">
        <f>IFERROR(IF(FIND(DH$1,$W5)&gt;0,IF(INDEX([1]!Product_Pricing_Table[#Data],MATCH(DH$1,Products,0),2)="Cores",IF(HostBuild[Use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 s="60">
        <f>IFERROR(IF(FIND(DI$1,$W5)&gt;0,IF(INDEX([1]!Product_Pricing_Table[#Data],MATCH(DI$1,Products,0),2)="Cores",IF(HostBuild[Use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 s="59">
        <f>IFERROR(IF(FIND(DJ$1,$W5)&gt;0,IF(INDEX([1]!Product_Pricing_Table[#Data],MATCH(DJ$1,Products,0),2)="Cores",IF(HostBuild[Use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 s="59">
        <f>IFERROR(IF(FIND(DK$1,$W5)&gt;0,IF(INDEX([1]!Product_Pricing_Table[#Data],MATCH(DK$1,Products,0),2)="Cores",IF(HostBuild[Use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 s="59">
        <f>IFERROR(IF(FIND(DL$1,$W5)&gt;0,IF(INDEX([1]!Product_Pricing_Table[#Data],MATCH(DL$1,Products,0),2)="Cores",IF(HostBuild[Use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 s="59">
        <f>IFERROR(IF(FIND(DM$1,$W5)&gt;0,IF(INDEX([1]!Product_Pricing_Table[#Data],MATCH(DM$1,Products,0),2)="Cores",IF(HostBuild[Use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 s="59">
        <f>IFERROR(IF(FIND(DN$1,$W5)&gt;0,IF(INDEX([1]!Product_Pricing_Table[#Data],MATCH(DN$1,Products,0),2)="Cores",IF(HostBuild[Use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 s="59">
        <f>IFERROR(IF(FIND(DO$1,$W5)&gt;0,IF(INDEX([1]!Product_Pricing_Table[#Data],MATCH(DO$1,Products,0),2)="Cores",IF(HostBuild[Use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 s="59">
        <f>IFERROR(IF(FIND(DP$1,$W5)&gt;0,IF(INDEX([1]!Product_Pricing_Table[#Data],MATCH(DP$1,Products,0),2)="Cores",IF(HostBuild[Use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 s="59">
        <f>IFERROR(IF(FIND(DQ$1,$W5)&gt;0,IF(INDEX([1]!Product_Pricing_Table[#Data],MATCH(DQ$1,Products,0),2)="Cores",IF(HostBuild[Use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 s="59">
        <f>IFERROR(IF(FIND(DR$1,$W5)&gt;0,IF(INDEX([1]!Product_Pricing_Table[#Data],MATCH(DR$1,Products,0),2)="Cores",IF(HostBuild[Use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 s="59">
        <f>IFERROR(IF(FIND(DS$1,$W5)&gt;0,IF(INDEX([1]!Product_Pricing_Table[#Data],MATCH(DS$1,Products,0),2)="Cores",IF(HostBuild[Use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 s="59">
        <f>IFERROR(IF(FIND(DT$1,$W5)&gt;0,IF(INDEX([1]!Product_Pricing_Table[#Data],MATCH(DT$1,Products,0),2)="Cores",IF(HostBuild[Use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 s="59">
        <f>IFERROR(IF(FIND(DU$1,$W5)&gt;0,IF(INDEX([1]!Product_Pricing_Table[#Data],MATCH(DU$1,Products,0),2)="Cores",IF(HostBuild[Use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 s="59">
        <f>IFERROR(IF(FIND(DV$1,$W5)&gt;0,IF(INDEX([1]!Product_Pricing_Table[#Data],MATCH(DV$1,Products,0),2)="Cores",IF(HostBuild[Use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 s="59">
        <f>IFERROR(IF(FIND(DW$1,$W5)&gt;0,IF(INDEX([1]!Product_Pricing_Table[#Data],MATCH(DW$1,Products,0),2)="Cores",IF(HostBuild[Use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 s="59">
        <f>IFERROR(IF(FIND(DX$1,$W5)&gt;0,IF(INDEX([1]!Product_Pricing_Table[#Data],MATCH(DX$1,Products,0),2)="Cores",IF(HostBuild[Use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 s="59">
        <f>IFERROR(IF(FIND(DY$1,$W5)&gt;0,IF(INDEX([1]!Product_Pricing_Table[#Data],MATCH(DY$1,Products,0),2)="Cores",IF(HostBuild[Use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 s="59">
        <f>IFERROR(IF(FIND(DZ$1,$W5)&gt;0,IF(INDEX([1]!Product_Pricing_Table[#Data],MATCH(DZ$1,Products,0),2)="Cores",IF(HostBuild[Use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 s="59">
        <f>IFERROR(IF(FIND(EA$1,$W5)&gt;0,IF(INDEX([1]!Product_Pricing_Table[#Data],MATCH(EA$1,Products,0),2)="Cores",IF(HostBuild[Use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 s="59">
        <f>IFERROR(IF(FIND(EB$1,$W5)&gt;0,IF(INDEX([1]!Product_Pricing_Table[#Data],MATCH(EB$1,Products,0),2)="Cores",IF(HostBuild[Use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 s="60">
        <f>IFERROR(IF(FIND(EC$1,$W5)&gt;0,IF(INDEX([1]!Product_Pricing_Table[#Data],MATCH(EC$1,Products,0),2)="Cores",IF(HostBuild[Use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 s="59">
        <f>IFERROR(IF(FIND(ED$1,$W5)&gt;0,IF(INDEX([1]!Product_Pricing_Table[#Data],MATCH(ED$1,Products,0),2)="Cores",IF(HostBuild[Use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 s="59">
        <f>IFERROR(IF(FIND(EE$1,$W5)&gt;0,IF(INDEX([1]!Product_Pricing_Table[#Data],MATCH(EE$1,Products,0),2)="Cores",IF(HostBuild[Use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 s="59">
        <f>IFERROR(IF(FIND(EF$1,$W5)&gt;0,IF(INDEX([1]!Product_Pricing_Table[#Data],MATCH(EF$1,Products,0),2)="Cores",IF(HostBuild[Use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 s="59">
        <f>IFERROR(IF(FIND(EG$1,$W5)&gt;0,IF(INDEX([1]!Product_Pricing_Table[#Data],MATCH(EG$1,Products,0),2)="Cores",IF(HostBuild[Use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 s="59">
        <f>IFERROR(IF(FIND(EH$1,$W5)&gt;0,IF(INDEX([1]!Product_Pricing_Table[#Data],MATCH(EH$1,Products,0),2)="Cores",IF(HostBuild[Use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 s="59">
        <f>IFERROR(IF(FIND(EI$1,$W5)&gt;0,IF(INDEX([1]!Product_Pricing_Table[#Data],MATCH(EI$1,Products,0),2)="Cores",IF(HostBuild[Use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 s="59">
        <f>IFERROR(IF(FIND(EJ$1,$W5)&gt;0,IF(INDEX([1]!Product_Pricing_Table[#Data],MATCH(EJ$1,Products,0),2)="Cores",IF(HostBuild[Use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 s="60">
        <f>IFERROR(IF(FIND(EK$1,$W5)&gt;0,IF(INDEX([1]!Product_Pricing_Table[#Data],MATCH(EK$1,Products,0),2)="Cores",IF(HostBuild[Use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 s="61"/>
      <c r="EM5" s="62"/>
      <c r="EN5" s="63"/>
      <c r="EO5"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72.118000000000009</v>
      </c>
      <c r="EQ5" s="132">
        <f>(HostBuild[Archive
Full (GB)]+HostBuild[Archive
Incr (GB)])*Storage_DC_Dist_Tape_2014</f>
        <v>6.7821249999999997</v>
      </c>
      <c r="ER5" s="132">
        <f>IF(ISNUMBER(HostBuild[Server HW Costs
(Monthly)]),SUM(HostBuild[[#This Row],[Server HW Costs
(Monthly)]:[Tape Costs
(Monthly)]]),0)</f>
        <v>78.900125000000003</v>
      </c>
      <c r="ES5" s="65">
        <f>HostBuild[Software Costs
'[Year 1']
(Monthly)]+HostBuild[Total Hardware Costs
(Monthly)]</f>
        <v>78.900125000000003</v>
      </c>
      <c r="ET5" s="65">
        <f>IFERROR(IF(FIND("Safenet",HostBuild[Server Model]),Safenet_PSE_PL600_Maint,0),0)+IFERROR(IF(FIND("XI52",HostBuild[Server Model]),IBM_DIA_XI52_Maint,0),0)+HostBuild[Software Costs
'[After Year 1']
(Monthly)]+HostBuild[Total Hardware Costs
(Monthly)]</f>
        <v>78.900125000000003</v>
      </c>
      <c r="EU5" s="66">
        <f>SUM(HostBuild[[#This Row],[Server Cost Breakdown]:[Network Cost]])</f>
        <v>0</v>
      </c>
      <c r="EV5" s="67">
        <f>IF(HostBuild[Existing Server?]="Yes - Inside this BoM",0,SUMIF(HostBuild[Alias],HostBuild[Alias],HostBuild[CPU])+SUMIF(HostBuild[Alias],HostBuild[Alias],HostBuild[Existing CPUs]))</f>
        <v>0</v>
      </c>
      <c r="EW5" s="67">
        <f>IF(HostBuild[Existing Server?]="Yes - Inside this BoM",0,SUMIF(HostBuild[Alias],HostBuild[Alias],HostBuild[Cores 
(Licensed Units)])+SUMIF(HostBuild[Alias],HostBuild[Alias],HostBuild[Existing Cores]))</f>
        <v>0</v>
      </c>
      <c r="EX5" s="67">
        <f>IF(HostBuild[Existing Server?]="Yes - Inside this BoM",0,SUMIF(HostBuild[Alias],HostBuild[Alias],HostBuild[RAM 
(GB)])+SUMIF(HostBuild[Alias],HostBuild[Alias],HostBuild[Existing RAM (GB)]))</f>
        <v>0</v>
      </c>
      <c r="EY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 s="66">
        <f>IF(ISBLANK(HostBuild[Server Model]),0,IF(HostBuild[Server Tier]="VMware",0,VLOOKUP(HostBuild[Server Tier],[1]!ServerTierRates[#Data],2,0))*HostBuild[CPU]*IF(AND(HostBuild[Server Type]="pSeries",HostBuild[Virtual Platform Storage Type]="Cloud-SAN"),0.25,1))</f>
        <v>0</v>
      </c>
      <c r="FD5" s="66">
        <f>0</f>
        <v>0</v>
      </c>
      <c r="FE5" s="66">
        <f>IF(HostBuild[Server Type]="VMware",HostBuild[RAM 
(GB)]*IF(ISERROR(FIND("DevCloud", HostBuild[Server Model])&gt;0),vRAM_per_vCPU_2014_Monthly,vRAM_per_vCPU_2014_Daily*30),0)</f>
        <v>0</v>
      </c>
      <c r="FF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 s="69">
        <f>IF(HostBuild[Server Tier]="VMware",0,IF(LEFT(HostBuild[Existing Server?],3)="Yes",0,IF(OR(HostBuild[Server Type]="Sun",HostBuild[Server Type]="pSeries"),Support_Direct_Server_Sun_per_OS_2014,IF(HostBuild[Server Type]="x86",Support_Direct_Server_x86_Wintel_per_OS_2014,0))))</f>
        <v>0</v>
      </c>
      <c r="FI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 spans="1:178" ht="15" hidden="1" customHeight="1">
      <c r="A6" s="122" t="s">
        <v>53</v>
      </c>
      <c r="B6" s="36"/>
      <c r="C6" s="36"/>
      <c r="D6" s="36"/>
      <c r="E6" s="37"/>
      <c r="F6" s="37"/>
      <c r="G6" s="103"/>
      <c r="H6" s="103"/>
      <c r="I6" s="38"/>
      <c r="J6" s="37"/>
      <c r="K6" s="37"/>
      <c r="L6" s="37"/>
      <c r="M6" s="103" t="e">
        <f ca="1">IF(rngIsDate(HostBuild[CTO Acceptance]),"Y","N")</f>
        <v>#NAME?</v>
      </c>
      <c r="N6" s="123" t="s">
        <v>4</v>
      </c>
      <c r="O6" s="39"/>
      <c r="P6" s="39"/>
      <c r="Q6" s="123" t="s">
        <v>54</v>
      </c>
      <c r="R6" s="126" t="str">
        <f>IF(NOT(ISBLANK(HostBuild[Env Label])),IFERROR(VLOOKUP(HostBuild[Env Label],[1]!tEnv[#Data],3,FALSE),""),"")</f>
        <v/>
      </c>
      <c r="S6" s="104"/>
      <c r="T6" s="40"/>
      <c r="U6" s="105"/>
      <c r="V6" s="123" t="s">
        <v>69</v>
      </c>
      <c r="W6" s="123" t="s">
        <v>70</v>
      </c>
      <c r="X6" s="123" t="s">
        <v>57</v>
      </c>
      <c r="Y6" s="123" t="s">
        <v>58</v>
      </c>
      <c r="Z6" s="126" t="str">
        <f>IF(NOT(ISBLANK(HostBuild[[#This Row],[Product 
(Acronym)]])),CONCATENATE(HostBuild[[#This Row],[Type]],"-",HostBuild[[#This Row],[Product 
(Acronym)]]),"")</f>
        <v>AP-ESB</v>
      </c>
      <c r="AA6" s="106"/>
      <c r="AB6" s="106" t="s">
        <v>59</v>
      </c>
      <c r="AC6" s="41"/>
      <c r="AD6" s="42"/>
      <c r="AE6" s="42"/>
      <c r="AF6" s="43" t="s">
        <v>60</v>
      </c>
      <c r="AG6" s="124"/>
      <c r="AH6" s="107"/>
      <c r="AI6" s="124" t="s">
        <v>71</v>
      </c>
      <c r="AJ6" s="123">
        <f>IF(COUNTIF(HostBuild[Alias],HostBuild[Alias]),1/COUNTIF(HostBuild[Alias],HostBuild[Alias]),0)</f>
        <v>1</v>
      </c>
      <c r="AK6" s="124"/>
      <c r="AL6" s="124"/>
      <c r="AM6" s="44" t="s">
        <v>62</v>
      </c>
      <c r="AN6" s="45" t="str">
        <f>IF(NOT(ISBLANK(HostBuild[Server Model])),VLOOKUP(HostBuild[Server Model],[1]!ServerModelsTier[#Data],2,FALSE),"")</f>
        <v>x86 Tier 3</v>
      </c>
      <c r="AO6" s="45" t="str">
        <f>IF(NOT(ISBLANK(HostBuild[Server Model])),VLOOKUP(HostBuild[Server Model],[1]!ServerModelsTier[#Data],5,FALSE),"")</f>
        <v>x86</v>
      </c>
      <c r="AP6" s="44"/>
      <c r="AQ6" s="44" t="s">
        <v>63</v>
      </c>
      <c r="AR6" s="46"/>
      <c r="AS6" s="108"/>
      <c r="AT6" s="47"/>
      <c r="AU6" s="109" t="str">
        <f>IF(IFERROR(FIND("P-Series",HostBuild[Server Tier]),0),CEILING((HostBuild[Existing CPUs]+HostBuild[CPU])*16,8),"")</f>
        <v/>
      </c>
      <c r="AV6" s="48"/>
      <c r="AW6" s="124"/>
      <c r="AX6" s="124"/>
      <c r="AY6" s="124"/>
      <c r="AZ6" s="49"/>
      <c r="BA6" s="124"/>
      <c r="BB6" s="124"/>
      <c r="BC6" s="42"/>
      <c r="BD6" s="124"/>
      <c r="BE6" s="124"/>
      <c r="BF6" s="124"/>
      <c r="BG6" s="124"/>
      <c r="BH6" s="124"/>
      <c r="BI6" s="124"/>
      <c r="BJ6" s="124"/>
      <c r="BK6"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6" s="127">
        <v>60</v>
      </c>
      <c r="BM6" s="129">
        <f>IF(ISNUMBER(HostBuild[Recommended SAN (GB)]),HostBuild[Recommended SAN (GB)])+IF(HostBuild[Additional SAN (GB)]&gt;0,CEILING(HostBuild[Additional SAN (GB)],LUN),-(CEILING(-HostBuild[Additional SAN (GB)],LUN)))</f>
        <v>67.400000000000006</v>
      </c>
      <c r="BN6" s="128"/>
      <c r="BO6" s="129">
        <f>HostBuild[SAN (GB)
NEEDED TODAY]+CEILING(HostBuild[SAN (GB)
RESERVED
DO NOT USE TO BUILD], LUN)</f>
        <v>67.400000000000006</v>
      </c>
      <c r="BP6" s="130">
        <v>60</v>
      </c>
      <c r="BQ6" s="131"/>
      <c r="BR6" s="125" t="s">
        <v>64</v>
      </c>
      <c r="BS6" s="110">
        <f>IF(HostBuild[Existing Server?]&lt;&gt;"Yes - Inside this BoM",IF(ISNUMBER(HostBuild[RAM 
(GB)]),IF(HostBuild[Existing RAM (GB)]+HostBuild[RAM 
(GB)]&gt;0,IF(HostBuild[Virtual Platform Storage Type]="NAS",110+HostBuild[Existing RAM (GB)]+HostBuild[RAM 
(GB)]*1.75,0),0),0),0)</f>
        <v>0</v>
      </c>
      <c r="BT6" s="111"/>
      <c r="BU6" s="112">
        <f>IF(ISNUMBER(HostBuild[Recommended NAS (GB)]),HostBuild[Recommended NAS (GB)])+HostBuild[Additional NAS (GB)]</f>
        <v>0</v>
      </c>
      <c r="BV6" s="50"/>
      <c r="BW6" s="50"/>
      <c r="BX6" s="133">
        <f>IFERROR((HostBuild[SAN (GB)
End-State
DO NOT USE TO BUILD]+HostBuild[SAN (GB) Shared])*25%,"")</f>
        <v>31.85</v>
      </c>
      <c r="BY6" s="113">
        <f>IFERROR(HostBuild[Archive
Full (GB)]*15%,"")</f>
        <v>4.7774999999999999</v>
      </c>
      <c r="BZ6" s="51"/>
      <c r="CA6" s="51"/>
      <c r="CB6" s="52"/>
      <c r="CC6" s="53"/>
      <c r="CD6" s="52"/>
      <c r="CE6" s="54"/>
      <c r="CF6" s="128"/>
      <c r="CG6" s="114"/>
      <c r="CH6" s="55"/>
      <c r="CI6" s="56"/>
      <c r="CJ6" s="57" t="s">
        <v>65</v>
      </c>
      <c r="CK6" s="58"/>
      <c r="CL6" s="59">
        <f>IFERROR(IF(FIND(CL$1,$W6)&gt;0,IF(INDEX([1]!Product_Pricing_Table[#Data],MATCH(CL$1,Products,0),2)="Cores",IF(HostBuild[Use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 s="59">
        <f>IFERROR(IF(FIND(CM$1,$W6)&gt;0,IF(INDEX([1]!Product_Pricing_Table[#Data],MATCH(CM$1,Products,0),2)="Cores",IF(HostBuild[Use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 s="59">
        <f>IFERROR(IF(FIND(CN$1,$W6)&gt;0,IF(INDEX([1]!Product_Pricing_Table[#Data],MATCH(CN$1,Products,0),2)="Cores",IF(HostBuild[Use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 s="59">
        <f>IFERROR(IF(FIND(CO$1,$W6)&gt;0,IF(INDEX([1]!Product_Pricing_Table[#Data],MATCH(CO$1,Products,0),2)="Cores",IF(HostBuild[Use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 s="59">
        <f>IFERROR(IF(FIND(CP$1,$W6)&gt;0,IF(INDEX([1]!Product_Pricing_Table[#Data],MATCH(CP$1,Products,0),2)="Cores",IF(HostBuild[Use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 s="59">
        <f>IFERROR(IF(FIND(CQ$1,$W6)&gt;0,IF(INDEX([1]!Product_Pricing_Table[#Data],MATCH(CQ$1,Products,0),2)="Cores",IF(HostBuild[Use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 s="59">
        <f>IFERROR(IF(FIND(CR$1,$W6)&gt;0,IF(INDEX([1]!Product_Pricing_Table[#Data],MATCH(CR$1,Products,0),2)="Cores",IF(HostBuild[Use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 s="59">
        <f>IFERROR(IF(FIND(CS$1,$W6)&gt;0,IF(INDEX([1]!Product_Pricing_Table[#Data],MATCH(CS$1,Products,0),2)="Cores",IF(HostBuild[Use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 s="59">
        <f>IFERROR(IF(FIND(CT$1,$W6)&gt;0,IF(INDEX([1]!Product_Pricing_Table[#Data],MATCH(CT$1,Products,0),2)="Cores",IF(HostBuild[Use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 s="59">
        <f>IFERROR(IF(FIND(CU$1,$W6)&gt;0,IF(INDEX([1]!Product_Pricing_Table[#Data],MATCH(CU$1,Products,0),2)="Cores",IF(HostBuild[Use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 s="59">
        <f>IFERROR(IF(FIND(CV$1,$W6)&gt;0,IF(INDEX([1]!Product_Pricing_Table[#Data],MATCH(CV$1,Products,0),2)="Cores",IF(HostBuild[Use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 s="59">
        <f>IFERROR(IF(FIND(CW$1,$W6)&gt;0,IF(INDEX([1]!Product_Pricing_Table[#Data],MATCH(CW$1,Products,0),2)="Cores",IF(HostBuild[Use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 s="59">
        <f>IFERROR(IF(FIND(CX$1,$W6)&gt;0,IF(INDEX([1]!Product_Pricing_Table[#Data],MATCH(CX$1,Products,0),2)="Cores",IF(HostBuild[Use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 s="59">
        <f>IFERROR(IF(FIND(CY$1,$W6)&gt;0,IF(INDEX([1]!Product_Pricing_Table[#Data],MATCH(CY$1,Products,0),2)="Cores",IF(HostBuild[Use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 s="59">
        <f>IFERROR(IF(FIND(CZ$1,$W6)&gt;0,IF(INDEX([1]!Product_Pricing_Table[#Data],MATCH(CZ$1,Products,0),2)="Cores",IF(HostBuild[Use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 s="59">
        <f>IFERROR(IF(FIND(DA$1,$W6)&gt;0,IF(INDEX([1]!Product_Pricing_Table[#Data],MATCH(DA$1,Products,0),2)="Cores",IF(HostBuild[Use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 s="59">
        <f>IFERROR(IF(FIND(DB$1,$W6)&gt;0,IF(INDEX([1]!Product_Pricing_Table[#Data],MATCH(DB$1,Products,0),2)="Cores",IF(HostBuild[Use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 s="59">
        <f>IFERROR(IF(FIND(DC$1,$W6)&gt;0,IF(INDEX([1]!Product_Pricing_Table[#Data],MATCH(DC$1,Products,0),2)="Cores",IF(HostBuild[Use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 s="59">
        <f>IFERROR(IF(FIND(DD$1,$W6)&gt;0,IF(INDEX([1]!Product_Pricing_Table[#Data],MATCH(DD$1,Products,0),2)="Cores",IF(HostBuild[Use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 s="59">
        <f>IFERROR(IF(FIND(DE$1,$W6)&gt;0,IF(INDEX([1]!Product_Pricing_Table[#Data],MATCH(DE$1,Products,0),2)="Cores",IF(HostBuild[Use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 s="60">
        <f>IFERROR(IF(FIND(DF$1,$W6)&gt;0,IF(INDEX([1]!Product_Pricing_Table[#Data],MATCH(DF$1,Products,0),2)="Cores",IF(HostBuild[Use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 s="60">
        <f>IFERROR(IF(FIND(DG$1,$W6)&gt;0,IF(INDEX([1]!Product_Pricing_Table[#Data],MATCH(DG$1,Products,0),2)="Cores",IF(HostBuild[Use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 s="59">
        <f>IFERROR(IF(FIND(DH$1,$W6)&gt;0,IF(INDEX([1]!Product_Pricing_Table[#Data],MATCH(DH$1,Products,0),2)="Cores",IF(HostBuild[Use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 s="60">
        <f>IFERROR(IF(FIND(DI$1,$W6)&gt;0,IF(INDEX([1]!Product_Pricing_Table[#Data],MATCH(DI$1,Products,0),2)="Cores",IF(HostBuild[Use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 s="59">
        <f>IFERROR(IF(FIND(DJ$1,$W6)&gt;0,IF(INDEX([1]!Product_Pricing_Table[#Data],MATCH(DJ$1,Products,0),2)="Cores",IF(HostBuild[Use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 s="59">
        <f>IFERROR(IF(FIND(DK$1,$W6)&gt;0,IF(INDEX([1]!Product_Pricing_Table[#Data],MATCH(DK$1,Products,0),2)="Cores",IF(HostBuild[Use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 s="59">
        <f>IFERROR(IF(FIND(DL$1,$W6)&gt;0,IF(INDEX([1]!Product_Pricing_Table[#Data],MATCH(DL$1,Products,0),2)="Cores",IF(HostBuild[Use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 s="59">
        <f>IFERROR(IF(FIND(DM$1,$W6)&gt;0,IF(INDEX([1]!Product_Pricing_Table[#Data],MATCH(DM$1,Products,0),2)="Cores",IF(HostBuild[Use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 s="59">
        <f>IFERROR(IF(FIND(DN$1,$W6)&gt;0,IF(INDEX([1]!Product_Pricing_Table[#Data],MATCH(DN$1,Products,0),2)="Cores",IF(HostBuild[Use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 s="59">
        <f>IFERROR(IF(FIND(DO$1,$W6)&gt;0,IF(INDEX([1]!Product_Pricing_Table[#Data],MATCH(DO$1,Products,0),2)="Cores",IF(HostBuild[Use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 s="59">
        <f>IFERROR(IF(FIND(DP$1,$W6)&gt;0,IF(INDEX([1]!Product_Pricing_Table[#Data],MATCH(DP$1,Products,0),2)="Cores",IF(HostBuild[Use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 s="59">
        <f>IFERROR(IF(FIND(DQ$1,$W6)&gt;0,IF(INDEX([1]!Product_Pricing_Table[#Data],MATCH(DQ$1,Products,0),2)="Cores",IF(HostBuild[Use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 s="59">
        <f>IFERROR(IF(FIND(DR$1,$W6)&gt;0,IF(INDEX([1]!Product_Pricing_Table[#Data],MATCH(DR$1,Products,0),2)="Cores",IF(HostBuild[Use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 s="59">
        <f>IFERROR(IF(FIND(DS$1,$W6)&gt;0,IF(INDEX([1]!Product_Pricing_Table[#Data],MATCH(DS$1,Products,0),2)="Cores",IF(HostBuild[Use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 s="59">
        <f>IFERROR(IF(FIND(DT$1,$W6)&gt;0,IF(INDEX([1]!Product_Pricing_Table[#Data],MATCH(DT$1,Products,0),2)="Cores",IF(HostBuild[Use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 s="59">
        <f>IFERROR(IF(FIND(DU$1,$W6)&gt;0,IF(INDEX([1]!Product_Pricing_Table[#Data],MATCH(DU$1,Products,0),2)="Cores",IF(HostBuild[Use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 s="59">
        <f>IFERROR(IF(FIND(DV$1,$W6)&gt;0,IF(INDEX([1]!Product_Pricing_Table[#Data],MATCH(DV$1,Products,0),2)="Cores",IF(HostBuild[Use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 s="59">
        <f>IFERROR(IF(FIND(DW$1,$W6)&gt;0,IF(INDEX([1]!Product_Pricing_Table[#Data],MATCH(DW$1,Products,0),2)="Cores",IF(HostBuild[Use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 s="59">
        <f>IFERROR(IF(FIND(DX$1,$W6)&gt;0,IF(INDEX([1]!Product_Pricing_Table[#Data],MATCH(DX$1,Products,0),2)="Cores",IF(HostBuild[Use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 s="59">
        <f>IFERROR(IF(FIND(DY$1,$W6)&gt;0,IF(INDEX([1]!Product_Pricing_Table[#Data],MATCH(DY$1,Products,0),2)="Cores",IF(HostBuild[Use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 s="59">
        <f>IFERROR(IF(FIND(DZ$1,$W6)&gt;0,IF(INDEX([1]!Product_Pricing_Table[#Data],MATCH(DZ$1,Products,0),2)="Cores",IF(HostBuild[Use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 s="59">
        <f>IFERROR(IF(FIND(EA$1,$W6)&gt;0,IF(INDEX([1]!Product_Pricing_Table[#Data],MATCH(EA$1,Products,0),2)="Cores",IF(HostBuild[Use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 s="59">
        <f>IFERROR(IF(FIND(EB$1,$W6)&gt;0,IF(INDEX([1]!Product_Pricing_Table[#Data],MATCH(EB$1,Products,0),2)="Cores",IF(HostBuild[Use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 s="60">
        <f>IFERROR(IF(FIND(EC$1,$W6)&gt;0,IF(INDEX([1]!Product_Pricing_Table[#Data],MATCH(EC$1,Products,0),2)="Cores",IF(HostBuild[Use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 s="59">
        <f>IFERROR(IF(FIND(ED$1,$W6)&gt;0,IF(INDEX([1]!Product_Pricing_Table[#Data],MATCH(ED$1,Products,0),2)="Cores",IF(HostBuild[Use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 s="59">
        <f>IFERROR(IF(FIND(EE$1,$W6)&gt;0,IF(INDEX([1]!Product_Pricing_Table[#Data],MATCH(EE$1,Products,0),2)="Cores",IF(HostBuild[Use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 s="59">
        <f>IFERROR(IF(FIND(EF$1,$W6)&gt;0,IF(INDEX([1]!Product_Pricing_Table[#Data],MATCH(EF$1,Products,0),2)="Cores",IF(HostBuild[Use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 s="59">
        <f>IFERROR(IF(FIND(EG$1,$W6)&gt;0,IF(INDEX([1]!Product_Pricing_Table[#Data],MATCH(EG$1,Products,0),2)="Cores",IF(HostBuild[Use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 s="59">
        <f>IFERROR(IF(FIND(EH$1,$W6)&gt;0,IF(INDEX([1]!Product_Pricing_Table[#Data],MATCH(EH$1,Products,0),2)="Cores",IF(HostBuild[Use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 s="59">
        <f>IFERROR(IF(FIND(EI$1,$W6)&gt;0,IF(INDEX([1]!Product_Pricing_Table[#Data],MATCH(EI$1,Products,0),2)="Cores",IF(HostBuild[Use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 s="59">
        <f>IFERROR(IF(FIND(EJ$1,$W6)&gt;0,IF(INDEX([1]!Product_Pricing_Table[#Data],MATCH(EJ$1,Products,0),2)="Cores",IF(HostBuild[Use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 s="60">
        <f>IFERROR(IF(FIND(EK$1,$W6)&gt;0,IF(INDEX([1]!Product_Pricing_Table[#Data],MATCH(EK$1,Products,0),2)="Cores",IF(HostBuild[Use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 s="61"/>
      <c r="EM6" s="62"/>
      <c r="EN6" s="63"/>
      <c r="EO6"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181.30600000000001</v>
      </c>
      <c r="EQ6" s="132">
        <f>(HostBuild[Archive
Full (GB)]+HostBuild[Archive
Incr (GB)])*Storage_DC_Dist_Tape_2014</f>
        <v>12.819624999999998</v>
      </c>
      <c r="ER6" s="132">
        <f>IF(ISNUMBER(HostBuild[Server HW Costs
(Monthly)]),SUM(HostBuild[[#This Row],[Server HW Costs
(Monthly)]:[Tape Costs
(Monthly)]]),0)</f>
        <v>194.12562500000001</v>
      </c>
      <c r="ES6" s="65">
        <f>HostBuild[Software Costs
'[Year 1']
(Monthly)]+HostBuild[Total Hardware Costs
(Monthly)]</f>
        <v>194.12562500000001</v>
      </c>
      <c r="ET6" s="65">
        <f>IFERROR(IF(FIND("Safenet",HostBuild[Server Model]),Safenet_PSE_PL600_Maint,0),0)+IFERROR(IF(FIND("XI52",HostBuild[Server Model]),IBM_DIA_XI52_Maint,0),0)+HostBuild[Software Costs
'[After Year 1']
(Monthly)]+HostBuild[Total Hardware Costs
(Monthly)]</f>
        <v>194.12562500000001</v>
      </c>
      <c r="EU6" s="66">
        <f>SUM(HostBuild[[#This Row],[Server Cost Breakdown]:[Network Cost]])</f>
        <v>0</v>
      </c>
      <c r="EV6" s="67">
        <f>IF(HostBuild[Existing Server?]="Yes - Inside this BoM",0,SUMIF(HostBuild[Alias],HostBuild[Alias],HostBuild[CPU])+SUMIF(HostBuild[Alias],HostBuild[Alias],HostBuild[Existing CPUs]))</f>
        <v>0</v>
      </c>
      <c r="EW6" s="67">
        <f>IF(HostBuild[Existing Server?]="Yes - Inside this BoM",0,SUMIF(HostBuild[Alias],HostBuild[Alias],HostBuild[Cores 
(Licensed Units)])+SUMIF(HostBuild[Alias],HostBuild[Alias],HostBuild[Existing Cores]))</f>
        <v>0</v>
      </c>
      <c r="EX6" s="67">
        <f>IF(HostBuild[Existing Server?]="Yes - Inside this BoM",0,SUMIF(HostBuild[Alias],HostBuild[Alias],HostBuild[RAM 
(GB)])+SUMIF(HostBuild[Alias],HostBuild[Alias],HostBuild[Existing RAM (GB)]))</f>
        <v>0</v>
      </c>
      <c r="EY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 s="66">
        <f>IF(ISBLANK(HostBuild[Server Model]),0,IF(HostBuild[Server Tier]="VMware",0,VLOOKUP(HostBuild[Server Tier],[1]!ServerTierRates[#Data],2,0))*HostBuild[CPU]*IF(AND(HostBuild[Server Type]="pSeries",HostBuild[Virtual Platform Storage Type]="Cloud-SAN"),0.25,1))</f>
        <v>0</v>
      </c>
      <c r="FD6" s="66">
        <f>0</f>
        <v>0</v>
      </c>
      <c r="FE6" s="66">
        <f>IF(HostBuild[Server Type]="VMware",HostBuild[RAM 
(GB)]*IF(ISERROR(FIND("DevCloud", HostBuild[Server Model])&gt;0),vRAM_per_vCPU_2014_Monthly,vRAM_per_vCPU_2014_Daily*30),0)</f>
        <v>0</v>
      </c>
      <c r="FF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 s="69">
        <f>IF(HostBuild[Server Tier]="VMware",0,IF(LEFT(HostBuild[Existing Server?],3)="Yes",0,IF(OR(HostBuild[Server Type]="Sun",HostBuild[Server Type]="pSeries"),Support_Direct_Server_Sun_per_OS_2014,IF(HostBuild[Server Type]="x86",Support_Direct_Server_x86_Wintel_per_OS_2014,0))))</f>
        <v>0</v>
      </c>
      <c r="FI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 spans="1:178" ht="15" hidden="1" customHeight="1">
      <c r="A7" s="122" t="s">
        <v>53</v>
      </c>
      <c r="B7" s="36"/>
      <c r="C7" s="36"/>
      <c r="D7" s="36"/>
      <c r="E7" s="37"/>
      <c r="F7" s="37"/>
      <c r="G7" s="103"/>
      <c r="H7" s="103"/>
      <c r="I7" s="38"/>
      <c r="J7" s="37"/>
      <c r="K7" s="37"/>
      <c r="L7" s="37"/>
      <c r="M7" s="103" t="e">
        <f ca="1">IF(rngIsDate(HostBuild[CTO Acceptance]),"Y","N")</f>
        <v>#NAME?</v>
      </c>
      <c r="N7" s="123" t="s">
        <v>4</v>
      </c>
      <c r="O7" s="39"/>
      <c r="P7" s="39"/>
      <c r="Q7" s="123" t="s">
        <v>54</v>
      </c>
      <c r="R7" s="126" t="str">
        <f>IF(NOT(ISBLANK(HostBuild[Env Label])),IFERROR(VLOOKUP(HostBuild[Env Label],[1]!tEnv[#Data],3,FALSE),""),"")</f>
        <v/>
      </c>
      <c r="S7" s="104"/>
      <c r="T7" s="40"/>
      <c r="U7" s="105"/>
      <c r="V7" s="123" t="s">
        <v>69</v>
      </c>
      <c r="W7" s="123" t="s">
        <v>70</v>
      </c>
      <c r="X7" s="123" t="s">
        <v>57</v>
      </c>
      <c r="Y7" s="123" t="s">
        <v>58</v>
      </c>
      <c r="Z7" s="126" t="str">
        <f>IF(NOT(ISBLANK(HostBuild[[#This Row],[Product 
(Acronym)]])),CONCATENATE(HostBuild[[#This Row],[Type]],"-",HostBuild[[#This Row],[Product 
(Acronym)]]),"")</f>
        <v>AP-ESB</v>
      </c>
      <c r="AA7" s="106"/>
      <c r="AB7" s="106" t="s">
        <v>59</v>
      </c>
      <c r="AC7" s="41"/>
      <c r="AD7" s="42"/>
      <c r="AE7" s="42"/>
      <c r="AF7" s="43" t="s">
        <v>60</v>
      </c>
      <c r="AG7" s="124"/>
      <c r="AH7" s="107"/>
      <c r="AI7" s="124" t="s">
        <v>72</v>
      </c>
      <c r="AJ7" s="123">
        <f>IF(COUNTIF(HostBuild[Alias],HostBuild[Alias]),1/COUNTIF(HostBuild[Alias],HostBuild[Alias]),0)</f>
        <v>1</v>
      </c>
      <c r="AK7" s="124"/>
      <c r="AL7" s="124"/>
      <c r="AM7" s="44" t="s">
        <v>62</v>
      </c>
      <c r="AN7" s="45" t="str">
        <f>IF(NOT(ISBLANK(HostBuild[Server Model])),VLOOKUP(HostBuild[Server Model],[1]!ServerModelsTier[#Data],2,FALSE),"")</f>
        <v>x86 Tier 3</v>
      </c>
      <c r="AO7" s="45" t="str">
        <f>IF(NOT(ISBLANK(HostBuild[Server Model])),VLOOKUP(HostBuild[Server Model],[1]!ServerModelsTier[#Data],5,FALSE),"")</f>
        <v>x86</v>
      </c>
      <c r="AP7" s="44"/>
      <c r="AQ7" s="44" t="s">
        <v>63</v>
      </c>
      <c r="AR7" s="46"/>
      <c r="AS7" s="108"/>
      <c r="AT7" s="47"/>
      <c r="AU7" s="109" t="str">
        <f>IF(IFERROR(FIND("P-Series",HostBuild[Server Tier]),0),CEILING((HostBuild[Existing CPUs]+HostBuild[CPU])*16,8),"")</f>
        <v/>
      </c>
      <c r="AV7" s="48"/>
      <c r="AW7" s="124"/>
      <c r="AX7" s="124"/>
      <c r="AY7" s="124"/>
      <c r="AZ7" s="49"/>
      <c r="BA7" s="124"/>
      <c r="BB7" s="124"/>
      <c r="BC7" s="42"/>
      <c r="BD7" s="124"/>
      <c r="BE7" s="124"/>
      <c r="BF7" s="124"/>
      <c r="BG7" s="124"/>
      <c r="BH7" s="124"/>
      <c r="BI7" s="124"/>
      <c r="BJ7" s="124"/>
      <c r="BK7"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7" s="127">
        <v>60</v>
      </c>
      <c r="BM7" s="129">
        <f>IF(ISNUMBER(HostBuild[Recommended SAN (GB)]),HostBuild[Recommended SAN (GB)])+IF(HostBuild[Additional SAN (GB)]&gt;0,CEILING(HostBuild[Additional SAN (GB)],LUN),-(CEILING(-HostBuild[Additional SAN (GB)],LUN)))</f>
        <v>67.400000000000006</v>
      </c>
      <c r="BN7" s="128"/>
      <c r="BO7" s="129">
        <f>HostBuild[SAN (GB)
NEEDED TODAY]+CEILING(HostBuild[SAN (GB)
RESERVED
DO NOT USE TO BUILD], LUN)</f>
        <v>67.400000000000006</v>
      </c>
      <c r="BP7" s="130"/>
      <c r="BQ7" s="131"/>
      <c r="BR7" s="125" t="s">
        <v>64</v>
      </c>
      <c r="BS7" s="110">
        <f>IF(HostBuild[Existing Server?]&lt;&gt;"Yes - Inside this BoM",IF(ISNUMBER(HostBuild[RAM 
(GB)]),IF(HostBuild[Existing RAM (GB)]+HostBuild[RAM 
(GB)]&gt;0,IF(HostBuild[Virtual Platform Storage Type]="NAS",110+HostBuild[Existing RAM (GB)]+HostBuild[RAM 
(GB)]*1.75,0),0),0),0)</f>
        <v>0</v>
      </c>
      <c r="BT7" s="111"/>
      <c r="BU7" s="112">
        <f>IF(ISNUMBER(HostBuild[Recommended NAS (GB)]),HostBuild[Recommended NAS (GB)])+HostBuild[Additional NAS (GB)]</f>
        <v>0</v>
      </c>
      <c r="BV7" s="50"/>
      <c r="BW7" s="50"/>
      <c r="BX7" s="133">
        <f>IFERROR((HostBuild[SAN (GB)
End-State
DO NOT USE TO BUILD]+HostBuild[SAN (GB) Shared])*25%,"")</f>
        <v>16.850000000000001</v>
      </c>
      <c r="BY7" s="113">
        <f>IFERROR(HostBuild[Archive
Full (GB)]*15%,"")</f>
        <v>2.5275000000000003</v>
      </c>
      <c r="BZ7" s="51"/>
      <c r="CA7" s="51"/>
      <c r="CB7" s="52"/>
      <c r="CC7" s="53"/>
      <c r="CD7" s="52"/>
      <c r="CE7" s="54"/>
      <c r="CF7" s="128"/>
      <c r="CG7" s="114"/>
      <c r="CH7" s="55"/>
      <c r="CI7" s="56"/>
      <c r="CJ7" s="57" t="s">
        <v>65</v>
      </c>
      <c r="CK7" s="58"/>
      <c r="CL7" s="59">
        <f>IFERROR(IF(FIND(CL$1,$W7)&gt;0,IF(INDEX([1]!Product_Pricing_Table[#Data],MATCH(CL$1,Products,0),2)="Cores",IF(HostBuild[Use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 s="59">
        <f>IFERROR(IF(FIND(CM$1,$W7)&gt;0,IF(INDEX([1]!Product_Pricing_Table[#Data],MATCH(CM$1,Products,0),2)="Cores",IF(HostBuild[Use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 s="59">
        <f>IFERROR(IF(FIND(CN$1,$W7)&gt;0,IF(INDEX([1]!Product_Pricing_Table[#Data],MATCH(CN$1,Products,0),2)="Cores",IF(HostBuild[Use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 s="59">
        <f>IFERROR(IF(FIND(CO$1,$W7)&gt;0,IF(INDEX([1]!Product_Pricing_Table[#Data],MATCH(CO$1,Products,0),2)="Cores",IF(HostBuild[Use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 s="59">
        <f>IFERROR(IF(FIND(CP$1,$W7)&gt;0,IF(INDEX([1]!Product_Pricing_Table[#Data],MATCH(CP$1,Products,0),2)="Cores",IF(HostBuild[Use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 s="59">
        <f>IFERROR(IF(FIND(CQ$1,$W7)&gt;0,IF(INDEX([1]!Product_Pricing_Table[#Data],MATCH(CQ$1,Products,0),2)="Cores",IF(HostBuild[Use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 s="59">
        <f>IFERROR(IF(FIND(CR$1,$W7)&gt;0,IF(INDEX([1]!Product_Pricing_Table[#Data],MATCH(CR$1,Products,0),2)="Cores",IF(HostBuild[Use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 s="59">
        <f>IFERROR(IF(FIND(CS$1,$W7)&gt;0,IF(INDEX([1]!Product_Pricing_Table[#Data],MATCH(CS$1,Products,0),2)="Cores",IF(HostBuild[Use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 s="59">
        <f>IFERROR(IF(FIND(CT$1,$W7)&gt;0,IF(INDEX([1]!Product_Pricing_Table[#Data],MATCH(CT$1,Products,0),2)="Cores",IF(HostBuild[Use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 s="59">
        <f>IFERROR(IF(FIND(CU$1,$W7)&gt;0,IF(INDEX([1]!Product_Pricing_Table[#Data],MATCH(CU$1,Products,0),2)="Cores",IF(HostBuild[Use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 s="59">
        <f>IFERROR(IF(FIND(CV$1,$W7)&gt;0,IF(INDEX([1]!Product_Pricing_Table[#Data],MATCH(CV$1,Products,0),2)="Cores",IF(HostBuild[Use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 s="59">
        <f>IFERROR(IF(FIND(CW$1,$W7)&gt;0,IF(INDEX([1]!Product_Pricing_Table[#Data],MATCH(CW$1,Products,0),2)="Cores",IF(HostBuild[Use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 s="59">
        <f>IFERROR(IF(FIND(CX$1,$W7)&gt;0,IF(INDEX([1]!Product_Pricing_Table[#Data],MATCH(CX$1,Products,0),2)="Cores",IF(HostBuild[Use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 s="59">
        <f>IFERROR(IF(FIND(CY$1,$W7)&gt;0,IF(INDEX([1]!Product_Pricing_Table[#Data],MATCH(CY$1,Products,0),2)="Cores",IF(HostBuild[Use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 s="59">
        <f>IFERROR(IF(FIND(CZ$1,$W7)&gt;0,IF(INDEX([1]!Product_Pricing_Table[#Data],MATCH(CZ$1,Products,0),2)="Cores",IF(HostBuild[Use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 s="59">
        <f>IFERROR(IF(FIND(DA$1,$W7)&gt;0,IF(INDEX([1]!Product_Pricing_Table[#Data],MATCH(DA$1,Products,0),2)="Cores",IF(HostBuild[Use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 s="59">
        <f>IFERROR(IF(FIND(DB$1,$W7)&gt;0,IF(INDEX([1]!Product_Pricing_Table[#Data],MATCH(DB$1,Products,0),2)="Cores",IF(HostBuild[Use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 s="59">
        <f>IFERROR(IF(FIND(DC$1,$W7)&gt;0,IF(INDEX([1]!Product_Pricing_Table[#Data],MATCH(DC$1,Products,0),2)="Cores",IF(HostBuild[Use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 s="59">
        <f>IFERROR(IF(FIND(DD$1,$W7)&gt;0,IF(INDEX([1]!Product_Pricing_Table[#Data],MATCH(DD$1,Products,0),2)="Cores",IF(HostBuild[Use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 s="59">
        <f>IFERROR(IF(FIND(DE$1,$W7)&gt;0,IF(INDEX([1]!Product_Pricing_Table[#Data],MATCH(DE$1,Products,0),2)="Cores",IF(HostBuild[Use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 s="60">
        <f>IFERROR(IF(FIND(DF$1,$W7)&gt;0,IF(INDEX([1]!Product_Pricing_Table[#Data],MATCH(DF$1,Products,0),2)="Cores",IF(HostBuild[Use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 s="60">
        <f>IFERROR(IF(FIND(DG$1,$W7)&gt;0,IF(INDEX([1]!Product_Pricing_Table[#Data],MATCH(DG$1,Products,0),2)="Cores",IF(HostBuild[Use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 s="59">
        <f>IFERROR(IF(FIND(DH$1,$W7)&gt;0,IF(INDEX([1]!Product_Pricing_Table[#Data],MATCH(DH$1,Products,0),2)="Cores",IF(HostBuild[Use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 s="60">
        <f>IFERROR(IF(FIND(DI$1,$W7)&gt;0,IF(INDEX([1]!Product_Pricing_Table[#Data],MATCH(DI$1,Products,0),2)="Cores",IF(HostBuild[Use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 s="59">
        <f>IFERROR(IF(FIND(DJ$1,$W7)&gt;0,IF(INDEX([1]!Product_Pricing_Table[#Data],MATCH(DJ$1,Products,0),2)="Cores",IF(HostBuild[Use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 s="59">
        <f>IFERROR(IF(FIND(DK$1,$W7)&gt;0,IF(INDEX([1]!Product_Pricing_Table[#Data],MATCH(DK$1,Products,0),2)="Cores",IF(HostBuild[Use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 s="59">
        <f>IFERROR(IF(FIND(DL$1,$W7)&gt;0,IF(INDEX([1]!Product_Pricing_Table[#Data],MATCH(DL$1,Products,0),2)="Cores",IF(HostBuild[Use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 s="59">
        <f>IFERROR(IF(FIND(DM$1,$W7)&gt;0,IF(INDEX([1]!Product_Pricing_Table[#Data],MATCH(DM$1,Products,0),2)="Cores",IF(HostBuild[Use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 s="59">
        <f>IFERROR(IF(FIND(DN$1,$W7)&gt;0,IF(INDEX([1]!Product_Pricing_Table[#Data],MATCH(DN$1,Products,0),2)="Cores",IF(HostBuild[Use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 s="59">
        <f>IFERROR(IF(FIND(DO$1,$W7)&gt;0,IF(INDEX([1]!Product_Pricing_Table[#Data],MATCH(DO$1,Products,0),2)="Cores",IF(HostBuild[Use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 s="59">
        <f>IFERROR(IF(FIND(DP$1,$W7)&gt;0,IF(INDEX([1]!Product_Pricing_Table[#Data],MATCH(DP$1,Products,0),2)="Cores",IF(HostBuild[Use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 s="59">
        <f>IFERROR(IF(FIND(DQ$1,$W7)&gt;0,IF(INDEX([1]!Product_Pricing_Table[#Data],MATCH(DQ$1,Products,0),2)="Cores",IF(HostBuild[Use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 s="59">
        <f>IFERROR(IF(FIND(DR$1,$W7)&gt;0,IF(INDEX([1]!Product_Pricing_Table[#Data],MATCH(DR$1,Products,0),2)="Cores",IF(HostBuild[Use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 s="59">
        <f>IFERROR(IF(FIND(DS$1,$W7)&gt;0,IF(INDEX([1]!Product_Pricing_Table[#Data],MATCH(DS$1,Products,0),2)="Cores",IF(HostBuild[Use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 s="59">
        <f>IFERROR(IF(FIND(DT$1,$W7)&gt;0,IF(INDEX([1]!Product_Pricing_Table[#Data],MATCH(DT$1,Products,0),2)="Cores",IF(HostBuild[Use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 s="59">
        <f>IFERROR(IF(FIND(DU$1,$W7)&gt;0,IF(INDEX([1]!Product_Pricing_Table[#Data],MATCH(DU$1,Products,0),2)="Cores",IF(HostBuild[Use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 s="59">
        <f>IFERROR(IF(FIND(DV$1,$W7)&gt;0,IF(INDEX([1]!Product_Pricing_Table[#Data],MATCH(DV$1,Products,0),2)="Cores",IF(HostBuild[Use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 s="59">
        <f>IFERROR(IF(FIND(DW$1,$W7)&gt;0,IF(INDEX([1]!Product_Pricing_Table[#Data],MATCH(DW$1,Products,0),2)="Cores",IF(HostBuild[Use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 s="59">
        <f>IFERROR(IF(FIND(DX$1,$W7)&gt;0,IF(INDEX([1]!Product_Pricing_Table[#Data],MATCH(DX$1,Products,0),2)="Cores",IF(HostBuild[Use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 s="59">
        <f>IFERROR(IF(FIND(DY$1,$W7)&gt;0,IF(INDEX([1]!Product_Pricing_Table[#Data],MATCH(DY$1,Products,0),2)="Cores",IF(HostBuild[Use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 s="59">
        <f>IFERROR(IF(FIND(DZ$1,$W7)&gt;0,IF(INDEX([1]!Product_Pricing_Table[#Data],MATCH(DZ$1,Products,0),2)="Cores",IF(HostBuild[Use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 s="59">
        <f>IFERROR(IF(FIND(EA$1,$W7)&gt;0,IF(INDEX([1]!Product_Pricing_Table[#Data],MATCH(EA$1,Products,0),2)="Cores",IF(HostBuild[Use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 s="59">
        <f>IFERROR(IF(FIND(EB$1,$W7)&gt;0,IF(INDEX([1]!Product_Pricing_Table[#Data],MATCH(EB$1,Products,0),2)="Cores",IF(HostBuild[Use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 s="60">
        <f>IFERROR(IF(FIND(EC$1,$W7)&gt;0,IF(INDEX([1]!Product_Pricing_Table[#Data],MATCH(EC$1,Products,0),2)="Cores",IF(HostBuild[Use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 s="59">
        <f>IFERROR(IF(FIND(ED$1,$W7)&gt;0,IF(INDEX([1]!Product_Pricing_Table[#Data],MATCH(ED$1,Products,0),2)="Cores",IF(HostBuild[Use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 s="59">
        <f>IFERROR(IF(FIND(EE$1,$W7)&gt;0,IF(INDEX([1]!Product_Pricing_Table[#Data],MATCH(EE$1,Products,0),2)="Cores",IF(HostBuild[Use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 s="59">
        <f>IFERROR(IF(FIND(EF$1,$W7)&gt;0,IF(INDEX([1]!Product_Pricing_Table[#Data],MATCH(EF$1,Products,0),2)="Cores",IF(HostBuild[Use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 s="59">
        <f>IFERROR(IF(FIND(EG$1,$W7)&gt;0,IF(INDEX([1]!Product_Pricing_Table[#Data],MATCH(EG$1,Products,0),2)="Cores",IF(HostBuild[Use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 s="59">
        <f>IFERROR(IF(FIND(EH$1,$W7)&gt;0,IF(INDEX([1]!Product_Pricing_Table[#Data],MATCH(EH$1,Products,0),2)="Cores",IF(HostBuild[Use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 s="59">
        <f>IFERROR(IF(FIND(EI$1,$W7)&gt;0,IF(INDEX([1]!Product_Pricing_Table[#Data],MATCH(EI$1,Products,0),2)="Cores",IF(HostBuild[Use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 s="59">
        <f>IFERROR(IF(FIND(EJ$1,$W7)&gt;0,IF(INDEX([1]!Product_Pricing_Table[#Data],MATCH(EJ$1,Products,0),2)="Cores",IF(HostBuild[Use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 s="60">
        <f>IFERROR(IF(FIND(EK$1,$W7)&gt;0,IF(INDEX([1]!Product_Pricing_Table[#Data],MATCH(EK$1,Products,0),2)="Cores",IF(HostBuild[Use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 s="61"/>
      <c r="EM7" s="62"/>
      <c r="EN7" s="63"/>
      <c r="EO7"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72.118000000000009</v>
      </c>
      <c r="EQ7" s="132">
        <f>(HostBuild[Archive
Full (GB)]+HostBuild[Archive
Incr (GB)])*Storage_DC_Dist_Tape_2014</f>
        <v>6.7821249999999997</v>
      </c>
      <c r="ER7" s="132">
        <f>IF(ISNUMBER(HostBuild[Server HW Costs
(Monthly)]),SUM(HostBuild[[#This Row],[Server HW Costs
(Monthly)]:[Tape Costs
(Monthly)]]),0)</f>
        <v>78.900125000000003</v>
      </c>
      <c r="ES7" s="65">
        <f>HostBuild[Software Costs
'[Year 1']
(Monthly)]+HostBuild[Total Hardware Costs
(Monthly)]</f>
        <v>78.900125000000003</v>
      </c>
      <c r="ET7" s="65">
        <f>IFERROR(IF(FIND("Safenet",HostBuild[Server Model]),Safenet_PSE_PL600_Maint,0),0)+IFERROR(IF(FIND("XI52",HostBuild[Server Model]),IBM_DIA_XI52_Maint,0),0)+HostBuild[Software Costs
'[After Year 1']
(Monthly)]+HostBuild[Total Hardware Costs
(Monthly)]</f>
        <v>78.900125000000003</v>
      </c>
      <c r="EU7" s="66">
        <f>SUM(HostBuild[[#This Row],[Server Cost Breakdown]:[Network Cost]])</f>
        <v>0</v>
      </c>
      <c r="EV7" s="67">
        <f>IF(HostBuild[Existing Server?]="Yes - Inside this BoM",0,SUMIF(HostBuild[Alias],HostBuild[Alias],HostBuild[CPU])+SUMIF(HostBuild[Alias],HostBuild[Alias],HostBuild[Existing CPUs]))</f>
        <v>0</v>
      </c>
      <c r="EW7" s="67">
        <f>IF(HostBuild[Existing Server?]="Yes - Inside this BoM",0,SUMIF(HostBuild[Alias],HostBuild[Alias],HostBuild[Cores 
(Licensed Units)])+SUMIF(HostBuild[Alias],HostBuild[Alias],HostBuild[Existing Cores]))</f>
        <v>0</v>
      </c>
      <c r="EX7" s="67">
        <f>IF(HostBuild[Existing Server?]="Yes - Inside this BoM",0,SUMIF(HostBuild[Alias],HostBuild[Alias],HostBuild[RAM 
(GB)])+SUMIF(HostBuild[Alias],HostBuild[Alias],HostBuild[Existing RAM (GB)]))</f>
        <v>0</v>
      </c>
      <c r="EY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 s="66">
        <f>IF(ISBLANK(HostBuild[Server Model]),0,IF(HostBuild[Server Tier]="VMware",0,VLOOKUP(HostBuild[Server Tier],[1]!ServerTierRates[#Data],2,0))*HostBuild[CPU]*IF(AND(HostBuild[Server Type]="pSeries",HostBuild[Virtual Platform Storage Type]="Cloud-SAN"),0.25,1))</f>
        <v>0</v>
      </c>
      <c r="FD7" s="66">
        <f>0</f>
        <v>0</v>
      </c>
      <c r="FE7" s="66">
        <f>IF(HostBuild[Server Type]="VMware",HostBuild[RAM 
(GB)]*IF(ISERROR(FIND("DevCloud", HostBuild[Server Model])&gt;0),vRAM_per_vCPU_2014_Monthly,vRAM_per_vCPU_2014_Daily*30),0)</f>
        <v>0</v>
      </c>
      <c r="FF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 s="69">
        <f>IF(HostBuild[Server Tier]="VMware",0,IF(LEFT(HostBuild[Existing Server?],3)="Yes",0,IF(OR(HostBuild[Server Type]="Sun",HostBuild[Server Type]="pSeries"),Support_Direct_Server_Sun_per_OS_2014,IF(HostBuild[Server Type]="x86",Support_Direct_Server_x86_Wintel_per_OS_2014,0))))</f>
        <v>0</v>
      </c>
      <c r="FI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 spans="1:178" ht="15" hidden="1" customHeight="1">
      <c r="A8" s="122" t="s">
        <v>53</v>
      </c>
      <c r="B8" s="36"/>
      <c r="C8" s="36"/>
      <c r="D8" s="36"/>
      <c r="E8" s="37"/>
      <c r="F8" s="37"/>
      <c r="G8" s="103"/>
      <c r="H8" s="103"/>
      <c r="I8" s="38"/>
      <c r="J8" s="37"/>
      <c r="K8" s="37"/>
      <c r="L8" s="37"/>
      <c r="M8" s="103" t="e">
        <f ca="1">IF(rngIsDate(HostBuild[CTO Acceptance]),"Y","N")</f>
        <v>#NAME?</v>
      </c>
      <c r="N8" s="123" t="s">
        <v>4</v>
      </c>
      <c r="O8" s="39"/>
      <c r="P8" s="39"/>
      <c r="Q8" s="123" t="s">
        <v>54</v>
      </c>
      <c r="R8" s="126" t="str">
        <f>IF(NOT(ISBLANK(HostBuild[Env Label])),IFERROR(VLOOKUP(HostBuild[Env Label],[1]!tEnv[#Data],3,FALSE),""),"")</f>
        <v/>
      </c>
      <c r="S8" s="104"/>
      <c r="T8" s="40"/>
      <c r="U8" s="105"/>
      <c r="V8" s="123" t="s">
        <v>69</v>
      </c>
      <c r="W8" s="123" t="s">
        <v>70</v>
      </c>
      <c r="X8" s="123" t="s">
        <v>57</v>
      </c>
      <c r="Y8" s="123" t="s">
        <v>58</v>
      </c>
      <c r="Z8" s="126" t="str">
        <f>IF(NOT(ISBLANK(HostBuild[[#This Row],[Product 
(Acronym)]])),CONCATENATE(HostBuild[[#This Row],[Type]],"-",HostBuild[[#This Row],[Product 
(Acronym)]]),"")</f>
        <v>AP-ESB</v>
      </c>
      <c r="AA8" s="106"/>
      <c r="AB8" s="106" t="s">
        <v>59</v>
      </c>
      <c r="AC8" s="41"/>
      <c r="AD8" s="42"/>
      <c r="AE8" s="42"/>
      <c r="AF8" s="43" t="s">
        <v>60</v>
      </c>
      <c r="AG8" s="124"/>
      <c r="AH8" s="107"/>
      <c r="AI8" s="124" t="s">
        <v>73</v>
      </c>
      <c r="AJ8" s="123">
        <f>IF(COUNTIF(HostBuild[Alias],HostBuild[Alias]),1/COUNTIF(HostBuild[Alias],HostBuild[Alias]),0)</f>
        <v>1</v>
      </c>
      <c r="AK8" s="124"/>
      <c r="AL8" s="124"/>
      <c r="AM8" s="44" t="s">
        <v>62</v>
      </c>
      <c r="AN8" s="45" t="str">
        <f>IF(NOT(ISBLANK(HostBuild[Server Model])),VLOOKUP(HostBuild[Server Model],[1]!ServerModelsTier[#Data],2,FALSE),"")</f>
        <v>x86 Tier 3</v>
      </c>
      <c r="AO8" s="45" t="str">
        <f>IF(NOT(ISBLANK(HostBuild[Server Model])),VLOOKUP(HostBuild[Server Model],[1]!ServerModelsTier[#Data],5,FALSE),"")</f>
        <v>x86</v>
      </c>
      <c r="AP8" s="44"/>
      <c r="AQ8" s="44" t="s">
        <v>63</v>
      </c>
      <c r="AR8" s="46"/>
      <c r="AS8" s="108"/>
      <c r="AT8" s="47"/>
      <c r="AU8" s="109" t="str">
        <f>IF(IFERROR(FIND("P-Series",HostBuild[Server Tier]),0),CEILING((HostBuild[Existing CPUs]+HostBuild[CPU])*16,8),"")</f>
        <v/>
      </c>
      <c r="AV8" s="48"/>
      <c r="AW8" s="124"/>
      <c r="AX8" s="124"/>
      <c r="AY8" s="124"/>
      <c r="AZ8" s="49"/>
      <c r="BA8" s="124"/>
      <c r="BB8" s="124"/>
      <c r="BC8" s="42"/>
      <c r="BD8" s="124"/>
      <c r="BE8" s="124"/>
      <c r="BF8" s="124"/>
      <c r="BG8" s="124"/>
      <c r="BH8" s="124"/>
      <c r="BI8" s="124"/>
      <c r="BJ8" s="124"/>
      <c r="BK8"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8" s="127">
        <v>60</v>
      </c>
      <c r="BM8" s="129">
        <f>IF(ISNUMBER(HostBuild[Recommended SAN (GB)]),HostBuild[Recommended SAN (GB)])+IF(HostBuild[Additional SAN (GB)]&gt;0,CEILING(HostBuild[Additional SAN (GB)],LUN),-(CEILING(-HostBuild[Additional SAN (GB)],LUN)))</f>
        <v>67.400000000000006</v>
      </c>
      <c r="BN8" s="128"/>
      <c r="BO8" s="129">
        <f>HostBuild[SAN (GB)
NEEDED TODAY]+CEILING(HostBuild[SAN (GB)
RESERVED
DO NOT USE TO BUILD], LUN)</f>
        <v>67.400000000000006</v>
      </c>
      <c r="BP8" s="130">
        <v>60</v>
      </c>
      <c r="BQ8" s="131"/>
      <c r="BR8" s="125" t="s">
        <v>64</v>
      </c>
      <c r="BS8" s="110">
        <f>IF(HostBuild[Existing Server?]&lt;&gt;"Yes - Inside this BoM",IF(ISNUMBER(HostBuild[RAM 
(GB)]),IF(HostBuild[Existing RAM (GB)]+HostBuild[RAM 
(GB)]&gt;0,IF(HostBuild[Virtual Platform Storage Type]="NAS",110+HostBuild[Existing RAM (GB)]+HostBuild[RAM 
(GB)]*1.75,0),0),0),0)</f>
        <v>0</v>
      </c>
      <c r="BT8" s="111"/>
      <c r="BU8" s="112">
        <f>IF(ISNUMBER(HostBuild[Recommended NAS (GB)]),HostBuild[Recommended NAS (GB)])+HostBuild[Additional NAS (GB)]</f>
        <v>0</v>
      </c>
      <c r="BV8" s="50"/>
      <c r="BW8" s="50"/>
      <c r="BX8" s="133">
        <f>IFERROR((HostBuild[SAN (GB)
End-State
DO NOT USE TO BUILD]+HostBuild[SAN (GB) Shared])*25%,"")</f>
        <v>31.85</v>
      </c>
      <c r="BY8" s="113">
        <f>IFERROR(HostBuild[Archive
Full (GB)]*15%,"")</f>
        <v>4.7774999999999999</v>
      </c>
      <c r="BZ8" s="51"/>
      <c r="CA8" s="51"/>
      <c r="CB8" s="52"/>
      <c r="CC8" s="53"/>
      <c r="CD8" s="52"/>
      <c r="CE8" s="54"/>
      <c r="CF8" s="128"/>
      <c r="CG8" s="114"/>
      <c r="CH8" s="55"/>
      <c r="CI8" s="56"/>
      <c r="CJ8" s="57" t="s">
        <v>65</v>
      </c>
      <c r="CK8" s="58"/>
      <c r="CL8" s="59">
        <f>IFERROR(IF(FIND(CL$1,$W8)&gt;0,IF(INDEX([1]!Product_Pricing_Table[#Data],MATCH(CL$1,Products,0),2)="Cores",IF(HostBuild[Use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 s="59">
        <f>IFERROR(IF(FIND(CM$1,$W8)&gt;0,IF(INDEX([1]!Product_Pricing_Table[#Data],MATCH(CM$1,Products,0),2)="Cores",IF(HostBuild[Use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 s="59">
        <f>IFERROR(IF(FIND(CN$1,$W8)&gt;0,IF(INDEX([1]!Product_Pricing_Table[#Data],MATCH(CN$1,Products,0),2)="Cores",IF(HostBuild[Use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 s="59">
        <f>IFERROR(IF(FIND(CO$1,$W8)&gt;0,IF(INDEX([1]!Product_Pricing_Table[#Data],MATCH(CO$1,Products,0),2)="Cores",IF(HostBuild[Use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 s="59">
        <f>IFERROR(IF(FIND(CP$1,$W8)&gt;0,IF(INDEX([1]!Product_Pricing_Table[#Data],MATCH(CP$1,Products,0),2)="Cores",IF(HostBuild[Use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 s="59">
        <f>IFERROR(IF(FIND(CQ$1,$W8)&gt;0,IF(INDEX([1]!Product_Pricing_Table[#Data],MATCH(CQ$1,Products,0),2)="Cores",IF(HostBuild[Use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 s="59">
        <f>IFERROR(IF(FIND(CR$1,$W8)&gt;0,IF(INDEX([1]!Product_Pricing_Table[#Data],MATCH(CR$1,Products,0),2)="Cores",IF(HostBuild[Use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 s="59">
        <f>IFERROR(IF(FIND(CS$1,$W8)&gt;0,IF(INDEX([1]!Product_Pricing_Table[#Data],MATCH(CS$1,Products,0),2)="Cores",IF(HostBuild[Use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 s="59">
        <f>IFERROR(IF(FIND(CT$1,$W8)&gt;0,IF(INDEX([1]!Product_Pricing_Table[#Data],MATCH(CT$1,Products,0),2)="Cores",IF(HostBuild[Use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 s="59">
        <f>IFERROR(IF(FIND(CU$1,$W8)&gt;0,IF(INDEX([1]!Product_Pricing_Table[#Data],MATCH(CU$1,Products,0),2)="Cores",IF(HostBuild[Use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 s="59">
        <f>IFERROR(IF(FIND(CV$1,$W8)&gt;0,IF(INDEX([1]!Product_Pricing_Table[#Data],MATCH(CV$1,Products,0),2)="Cores",IF(HostBuild[Use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 s="59">
        <f>IFERROR(IF(FIND(CW$1,$W8)&gt;0,IF(INDEX([1]!Product_Pricing_Table[#Data],MATCH(CW$1,Products,0),2)="Cores",IF(HostBuild[Use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 s="59">
        <f>IFERROR(IF(FIND(CX$1,$W8)&gt;0,IF(INDEX([1]!Product_Pricing_Table[#Data],MATCH(CX$1,Products,0),2)="Cores",IF(HostBuild[Use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 s="59">
        <f>IFERROR(IF(FIND(CY$1,$W8)&gt;0,IF(INDEX([1]!Product_Pricing_Table[#Data],MATCH(CY$1,Products,0),2)="Cores",IF(HostBuild[Use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 s="59">
        <f>IFERROR(IF(FIND(CZ$1,$W8)&gt;0,IF(INDEX([1]!Product_Pricing_Table[#Data],MATCH(CZ$1,Products,0),2)="Cores",IF(HostBuild[Use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 s="59">
        <f>IFERROR(IF(FIND(DA$1,$W8)&gt;0,IF(INDEX([1]!Product_Pricing_Table[#Data],MATCH(DA$1,Products,0),2)="Cores",IF(HostBuild[Use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 s="59">
        <f>IFERROR(IF(FIND(DB$1,$W8)&gt;0,IF(INDEX([1]!Product_Pricing_Table[#Data],MATCH(DB$1,Products,0),2)="Cores",IF(HostBuild[Use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 s="59">
        <f>IFERROR(IF(FIND(DC$1,$W8)&gt;0,IF(INDEX([1]!Product_Pricing_Table[#Data],MATCH(DC$1,Products,0),2)="Cores",IF(HostBuild[Use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 s="59">
        <f>IFERROR(IF(FIND(DD$1,$W8)&gt;0,IF(INDEX([1]!Product_Pricing_Table[#Data],MATCH(DD$1,Products,0),2)="Cores",IF(HostBuild[Use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 s="59">
        <f>IFERROR(IF(FIND(DE$1,$W8)&gt;0,IF(INDEX([1]!Product_Pricing_Table[#Data],MATCH(DE$1,Products,0),2)="Cores",IF(HostBuild[Use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 s="60">
        <f>IFERROR(IF(FIND(DF$1,$W8)&gt;0,IF(INDEX([1]!Product_Pricing_Table[#Data],MATCH(DF$1,Products,0),2)="Cores",IF(HostBuild[Use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 s="60">
        <f>IFERROR(IF(FIND(DG$1,$W8)&gt;0,IF(INDEX([1]!Product_Pricing_Table[#Data],MATCH(DG$1,Products,0),2)="Cores",IF(HostBuild[Use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 s="59">
        <f>IFERROR(IF(FIND(DH$1,$W8)&gt;0,IF(INDEX([1]!Product_Pricing_Table[#Data],MATCH(DH$1,Products,0),2)="Cores",IF(HostBuild[Use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 s="60">
        <f>IFERROR(IF(FIND(DI$1,$W8)&gt;0,IF(INDEX([1]!Product_Pricing_Table[#Data],MATCH(DI$1,Products,0),2)="Cores",IF(HostBuild[Use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 s="59">
        <f>IFERROR(IF(FIND(DJ$1,$W8)&gt;0,IF(INDEX([1]!Product_Pricing_Table[#Data],MATCH(DJ$1,Products,0),2)="Cores",IF(HostBuild[Use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 s="59">
        <f>IFERROR(IF(FIND(DK$1,$W8)&gt;0,IF(INDEX([1]!Product_Pricing_Table[#Data],MATCH(DK$1,Products,0),2)="Cores",IF(HostBuild[Use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 s="59">
        <f>IFERROR(IF(FIND(DL$1,$W8)&gt;0,IF(INDEX([1]!Product_Pricing_Table[#Data],MATCH(DL$1,Products,0),2)="Cores",IF(HostBuild[Use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 s="59">
        <f>IFERROR(IF(FIND(DM$1,$W8)&gt;0,IF(INDEX([1]!Product_Pricing_Table[#Data],MATCH(DM$1,Products,0),2)="Cores",IF(HostBuild[Use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 s="59">
        <f>IFERROR(IF(FIND(DN$1,$W8)&gt;0,IF(INDEX([1]!Product_Pricing_Table[#Data],MATCH(DN$1,Products,0),2)="Cores",IF(HostBuild[Use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 s="59">
        <f>IFERROR(IF(FIND(DO$1,$W8)&gt;0,IF(INDEX([1]!Product_Pricing_Table[#Data],MATCH(DO$1,Products,0),2)="Cores",IF(HostBuild[Use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 s="59">
        <f>IFERROR(IF(FIND(DP$1,$W8)&gt;0,IF(INDEX([1]!Product_Pricing_Table[#Data],MATCH(DP$1,Products,0),2)="Cores",IF(HostBuild[Use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 s="59">
        <f>IFERROR(IF(FIND(DQ$1,$W8)&gt;0,IF(INDEX([1]!Product_Pricing_Table[#Data],MATCH(DQ$1,Products,0),2)="Cores",IF(HostBuild[Use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 s="59">
        <f>IFERROR(IF(FIND(DR$1,$W8)&gt;0,IF(INDEX([1]!Product_Pricing_Table[#Data],MATCH(DR$1,Products,0),2)="Cores",IF(HostBuild[Use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 s="59">
        <f>IFERROR(IF(FIND(DS$1,$W8)&gt;0,IF(INDEX([1]!Product_Pricing_Table[#Data],MATCH(DS$1,Products,0),2)="Cores",IF(HostBuild[Use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 s="59">
        <f>IFERROR(IF(FIND(DT$1,$W8)&gt;0,IF(INDEX([1]!Product_Pricing_Table[#Data],MATCH(DT$1,Products,0),2)="Cores",IF(HostBuild[Use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 s="59">
        <f>IFERROR(IF(FIND(DU$1,$W8)&gt;0,IF(INDEX([1]!Product_Pricing_Table[#Data],MATCH(DU$1,Products,0),2)="Cores",IF(HostBuild[Use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 s="59">
        <f>IFERROR(IF(FIND(DV$1,$W8)&gt;0,IF(INDEX([1]!Product_Pricing_Table[#Data],MATCH(DV$1,Products,0),2)="Cores",IF(HostBuild[Use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 s="59">
        <f>IFERROR(IF(FIND(DW$1,$W8)&gt;0,IF(INDEX([1]!Product_Pricing_Table[#Data],MATCH(DW$1,Products,0),2)="Cores",IF(HostBuild[Use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 s="59">
        <f>IFERROR(IF(FIND(DX$1,$W8)&gt;0,IF(INDEX([1]!Product_Pricing_Table[#Data],MATCH(DX$1,Products,0),2)="Cores",IF(HostBuild[Use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 s="59">
        <f>IFERROR(IF(FIND(DY$1,$W8)&gt;0,IF(INDEX([1]!Product_Pricing_Table[#Data],MATCH(DY$1,Products,0),2)="Cores",IF(HostBuild[Use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 s="59">
        <f>IFERROR(IF(FIND(DZ$1,$W8)&gt;0,IF(INDEX([1]!Product_Pricing_Table[#Data],MATCH(DZ$1,Products,0),2)="Cores",IF(HostBuild[Use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 s="59">
        <f>IFERROR(IF(FIND(EA$1,$W8)&gt;0,IF(INDEX([1]!Product_Pricing_Table[#Data],MATCH(EA$1,Products,0),2)="Cores",IF(HostBuild[Use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 s="59">
        <f>IFERROR(IF(FIND(EB$1,$W8)&gt;0,IF(INDEX([1]!Product_Pricing_Table[#Data],MATCH(EB$1,Products,0),2)="Cores",IF(HostBuild[Use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 s="60">
        <f>IFERROR(IF(FIND(EC$1,$W8)&gt;0,IF(INDEX([1]!Product_Pricing_Table[#Data],MATCH(EC$1,Products,0),2)="Cores",IF(HostBuild[Use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 s="59">
        <f>IFERROR(IF(FIND(ED$1,$W8)&gt;0,IF(INDEX([1]!Product_Pricing_Table[#Data],MATCH(ED$1,Products,0),2)="Cores",IF(HostBuild[Use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 s="59">
        <f>IFERROR(IF(FIND(EE$1,$W8)&gt;0,IF(INDEX([1]!Product_Pricing_Table[#Data],MATCH(EE$1,Products,0),2)="Cores",IF(HostBuild[Use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 s="59">
        <f>IFERROR(IF(FIND(EF$1,$W8)&gt;0,IF(INDEX([1]!Product_Pricing_Table[#Data],MATCH(EF$1,Products,0),2)="Cores",IF(HostBuild[Use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 s="59">
        <f>IFERROR(IF(FIND(EG$1,$W8)&gt;0,IF(INDEX([1]!Product_Pricing_Table[#Data],MATCH(EG$1,Products,0),2)="Cores",IF(HostBuild[Use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 s="59">
        <f>IFERROR(IF(FIND(EH$1,$W8)&gt;0,IF(INDEX([1]!Product_Pricing_Table[#Data],MATCH(EH$1,Products,0),2)="Cores",IF(HostBuild[Use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8" s="59">
        <f>IFERROR(IF(FIND(EI$1,$W8)&gt;0,IF(INDEX([1]!Product_Pricing_Table[#Data],MATCH(EI$1,Products,0),2)="Cores",IF(HostBuild[Use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 s="59">
        <f>IFERROR(IF(FIND(EJ$1,$W8)&gt;0,IF(INDEX([1]!Product_Pricing_Table[#Data],MATCH(EJ$1,Products,0),2)="Cores",IF(HostBuild[Use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 s="60">
        <f>IFERROR(IF(FIND(EK$1,$W8)&gt;0,IF(INDEX([1]!Product_Pricing_Table[#Data],MATCH(EK$1,Products,0),2)="Cores",IF(HostBuild[Use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 s="61"/>
      <c r="EM8" s="62"/>
      <c r="EN8" s="63"/>
      <c r="EO8"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181.30600000000001</v>
      </c>
      <c r="EQ8" s="132">
        <f>(HostBuild[Archive
Full (GB)]+HostBuild[Archive
Incr (GB)])*Storage_DC_Dist_Tape_2014</f>
        <v>12.819624999999998</v>
      </c>
      <c r="ER8" s="132">
        <f>IF(ISNUMBER(HostBuild[Server HW Costs
(Monthly)]),SUM(HostBuild[[#This Row],[Server HW Costs
(Monthly)]:[Tape Costs
(Monthly)]]),0)</f>
        <v>194.12562500000001</v>
      </c>
      <c r="ES8" s="65">
        <f>HostBuild[Software Costs
'[Year 1']
(Monthly)]+HostBuild[Total Hardware Costs
(Monthly)]</f>
        <v>194.12562500000001</v>
      </c>
      <c r="ET8" s="65">
        <f>IFERROR(IF(FIND("Safenet",HostBuild[Server Model]),Safenet_PSE_PL600_Maint,0),0)+IFERROR(IF(FIND("XI52",HostBuild[Server Model]),IBM_DIA_XI52_Maint,0),0)+HostBuild[Software Costs
'[After Year 1']
(Monthly)]+HostBuild[Total Hardware Costs
(Monthly)]</f>
        <v>194.12562500000001</v>
      </c>
      <c r="EU8" s="66">
        <f>SUM(HostBuild[[#This Row],[Server Cost Breakdown]:[Network Cost]])</f>
        <v>0</v>
      </c>
      <c r="EV8" s="67">
        <f>IF(HostBuild[Existing Server?]="Yes - Inside this BoM",0,SUMIF(HostBuild[Alias],HostBuild[Alias],HostBuild[CPU])+SUMIF(HostBuild[Alias],HostBuild[Alias],HostBuild[Existing CPUs]))</f>
        <v>0</v>
      </c>
      <c r="EW8" s="67">
        <f>IF(HostBuild[Existing Server?]="Yes - Inside this BoM",0,SUMIF(HostBuild[Alias],HostBuild[Alias],HostBuild[Cores 
(Licensed Units)])+SUMIF(HostBuild[Alias],HostBuild[Alias],HostBuild[Existing Cores]))</f>
        <v>0</v>
      </c>
      <c r="EX8" s="67">
        <f>IF(HostBuild[Existing Server?]="Yes - Inside this BoM",0,SUMIF(HostBuild[Alias],HostBuild[Alias],HostBuild[RAM 
(GB)])+SUMIF(HostBuild[Alias],HostBuild[Alias],HostBuild[Existing RAM (GB)]))</f>
        <v>0</v>
      </c>
      <c r="EY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 s="66">
        <f>IF(ISBLANK(HostBuild[Server Model]),0,IF(HostBuild[Server Tier]="VMware",0,VLOOKUP(HostBuild[Server Tier],[1]!ServerTierRates[#Data],2,0))*HostBuild[CPU]*IF(AND(HostBuild[Server Type]="pSeries",HostBuild[Virtual Platform Storage Type]="Cloud-SAN"),0.25,1))</f>
        <v>0</v>
      </c>
      <c r="FD8" s="66">
        <f>0</f>
        <v>0</v>
      </c>
      <c r="FE8" s="66">
        <f>IF(HostBuild[Server Type]="VMware",HostBuild[RAM 
(GB)]*IF(ISERROR(FIND("DevCloud", HostBuild[Server Model])&gt;0),vRAM_per_vCPU_2014_Monthly,vRAM_per_vCPU_2014_Daily*30),0)</f>
        <v>0</v>
      </c>
      <c r="FF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 s="69">
        <f>IF(HostBuild[Server Tier]="VMware",0,IF(LEFT(HostBuild[Existing Server?],3)="Yes",0,IF(OR(HostBuild[Server Type]="Sun",HostBuild[Server Type]="pSeries"),Support_Direct_Server_Sun_per_OS_2014,IF(HostBuild[Server Type]="x86",Support_Direct_Server_x86_Wintel_per_OS_2014,0))))</f>
        <v>0</v>
      </c>
      <c r="FI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 spans="1:178" ht="15" hidden="1" customHeight="1">
      <c r="A9" s="122" t="s">
        <v>53</v>
      </c>
      <c r="B9" s="36"/>
      <c r="C9" s="36"/>
      <c r="D9" s="36"/>
      <c r="E9" s="37"/>
      <c r="F9" s="37"/>
      <c r="G9" s="103"/>
      <c r="H9" s="103"/>
      <c r="I9" s="38"/>
      <c r="J9" s="37"/>
      <c r="K9" s="37"/>
      <c r="L9" s="37"/>
      <c r="M9" s="103" t="e">
        <f ca="1">IF(rngIsDate(HostBuild[CTO Acceptance]),"Y","N")</f>
        <v>#NAME?</v>
      </c>
      <c r="N9" s="123" t="s">
        <v>4</v>
      </c>
      <c r="O9" s="39"/>
      <c r="P9" s="39"/>
      <c r="Q9" s="123" t="s">
        <v>54</v>
      </c>
      <c r="R9" s="126" t="str">
        <f>IF(NOT(ISBLANK(HostBuild[Env Label])),IFERROR(VLOOKUP(HostBuild[Env Label],[1]!tEnv[#Data],3,FALSE),""),"")</f>
        <v/>
      </c>
      <c r="S9" s="104"/>
      <c r="T9" s="40"/>
      <c r="U9" s="105"/>
      <c r="V9" s="123" t="s">
        <v>69</v>
      </c>
      <c r="W9" s="123" t="s">
        <v>70</v>
      </c>
      <c r="X9" s="123" t="s">
        <v>57</v>
      </c>
      <c r="Y9" s="123" t="s">
        <v>58</v>
      </c>
      <c r="Z9" s="126" t="str">
        <f>IF(NOT(ISBLANK(HostBuild[[#This Row],[Product 
(Acronym)]])),CONCATENATE(HostBuild[[#This Row],[Type]],"-",HostBuild[[#This Row],[Product 
(Acronym)]]),"")</f>
        <v>AP-ESB</v>
      </c>
      <c r="AA9" s="106"/>
      <c r="AB9" s="106" t="s">
        <v>59</v>
      </c>
      <c r="AC9" s="41"/>
      <c r="AD9" s="42"/>
      <c r="AE9" s="42"/>
      <c r="AF9" s="43" t="s">
        <v>60</v>
      </c>
      <c r="AG9" s="124"/>
      <c r="AH9" s="107"/>
      <c r="AI9" s="124" t="s">
        <v>74</v>
      </c>
      <c r="AJ9" s="123">
        <f>IF(COUNTIF(HostBuild[Alias],HostBuild[Alias]),1/COUNTIF(HostBuild[Alias],HostBuild[Alias]),0)</f>
        <v>1</v>
      </c>
      <c r="AK9" s="124"/>
      <c r="AL9" s="124"/>
      <c r="AM9" s="44" t="s">
        <v>62</v>
      </c>
      <c r="AN9" s="45" t="str">
        <f>IF(NOT(ISBLANK(HostBuild[Server Model])),VLOOKUP(HostBuild[Server Model],[1]!ServerModelsTier[#Data],2,FALSE),"")</f>
        <v>x86 Tier 3</v>
      </c>
      <c r="AO9" s="45" t="str">
        <f>IF(NOT(ISBLANK(HostBuild[Server Model])),VLOOKUP(HostBuild[Server Model],[1]!ServerModelsTier[#Data],5,FALSE),"")</f>
        <v>x86</v>
      </c>
      <c r="AP9" s="44"/>
      <c r="AQ9" s="44" t="s">
        <v>63</v>
      </c>
      <c r="AR9" s="46"/>
      <c r="AS9" s="108"/>
      <c r="AT9" s="47"/>
      <c r="AU9" s="109" t="str">
        <f>IF(IFERROR(FIND("P-Series",HostBuild[Server Tier]),0),CEILING((HostBuild[Existing CPUs]+HostBuild[CPU])*16,8),"")</f>
        <v/>
      </c>
      <c r="AV9" s="48"/>
      <c r="AW9" s="124"/>
      <c r="AX9" s="124"/>
      <c r="AY9" s="124"/>
      <c r="AZ9" s="49"/>
      <c r="BA9" s="124"/>
      <c r="BB9" s="124"/>
      <c r="BC9" s="42"/>
      <c r="BD9" s="124"/>
      <c r="BE9" s="124"/>
      <c r="BF9" s="124"/>
      <c r="BG9" s="124"/>
      <c r="BH9" s="124"/>
      <c r="BI9" s="124"/>
      <c r="BJ9" s="124"/>
      <c r="BK9"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9" s="127">
        <v>60</v>
      </c>
      <c r="BM9" s="129">
        <f>IF(ISNUMBER(HostBuild[Recommended SAN (GB)]),HostBuild[Recommended SAN (GB)])+IF(HostBuild[Additional SAN (GB)]&gt;0,CEILING(HostBuild[Additional SAN (GB)],LUN),-(CEILING(-HostBuild[Additional SAN (GB)],LUN)))</f>
        <v>67.400000000000006</v>
      </c>
      <c r="BN9" s="128"/>
      <c r="BO9" s="129">
        <f>HostBuild[SAN (GB)
NEEDED TODAY]+CEILING(HostBuild[SAN (GB)
RESERVED
DO NOT USE TO BUILD], LUN)</f>
        <v>67.400000000000006</v>
      </c>
      <c r="BP9" s="130"/>
      <c r="BQ9" s="131"/>
      <c r="BR9" s="125" t="s">
        <v>64</v>
      </c>
      <c r="BS9" s="110">
        <f>IF(HostBuild[Existing Server?]&lt;&gt;"Yes - Inside this BoM",IF(ISNUMBER(HostBuild[RAM 
(GB)]),IF(HostBuild[Existing RAM (GB)]+HostBuild[RAM 
(GB)]&gt;0,IF(HostBuild[Virtual Platform Storage Type]="NAS",110+HostBuild[Existing RAM (GB)]+HostBuild[RAM 
(GB)]*1.75,0),0),0),0)</f>
        <v>0</v>
      </c>
      <c r="BT9" s="111"/>
      <c r="BU9" s="112">
        <f>IF(ISNUMBER(HostBuild[Recommended NAS (GB)]),HostBuild[Recommended NAS (GB)])+HostBuild[Additional NAS (GB)]</f>
        <v>0</v>
      </c>
      <c r="BV9" s="50"/>
      <c r="BW9" s="50"/>
      <c r="BX9" s="133">
        <f>IFERROR((HostBuild[SAN (GB)
End-State
DO NOT USE TO BUILD]+HostBuild[SAN (GB) Shared])*25%,"")</f>
        <v>16.850000000000001</v>
      </c>
      <c r="BY9" s="113">
        <f>IFERROR(HostBuild[Archive
Full (GB)]*15%,"")</f>
        <v>2.5275000000000003</v>
      </c>
      <c r="BZ9" s="51"/>
      <c r="CA9" s="51"/>
      <c r="CB9" s="52"/>
      <c r="CC9" s="53"/>
      <c r="CD9" s="52"/>
      <c r="CE9" s="54"/>
      <c r="CF9" s="128"/>
      <c r="CG9" s="114"/>
      <c r="CH9" s="55"/>
      <c r="CI9" s="56"/>
      <c r="CJ9" s="57" t="s">
        <v>65</v>
      </c>
      <c r="CK9" s="58"/>
      <c r="CL9" s="59">
        <f>IFERROR(IF(FIND(CL$1,$W9)&gt;0,IF(INDEX([1]!Product_Pricing_Table[#Data],MATCH(CL$1,Products,0),2)="Cores",IF(HostBuild[Use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 s="59">
        <f>IFERROR(IF(FIND(CM$1,$W9)&gt;0,IF(INDEX([1]!Product_Pricing_Table[#Data],MATCH(CM$1,Products,0),2)="Cores",IF(HostBuild[Use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 s="59">
        <f>IFERROR(IF(FIND(CN$1,$W9)&gt;0,IF(INDEX([1]!Product_Pricing_Table[#Data],MATCH(CN$1,Products,0),2)="Cores",IF(HostBuild[Use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 s="59">
        <f>IFERROR(IF(FIND(CO$1,$W9)&gt;0,IF(INDEX([1]!Product_Pricing_Table[#Data],MATCH(CO$1,Products,0),2)="Cores",IF(HostBuild[Use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 s="59">
        <f>IFERROR(IF(FIND(CP$1,$W9)&gt;0,IF(INDEX([1]!Product_Pricing_Table[#Data],MATCH(CP$1,Products,0),2)="Cores",IF(HostBuild[Use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 s="59">
        <f>IFERROR(IF(FIND(CQ$1,$W9)&gt;0,IF(INDEX([1]!Product_Pricing_Table[#Data],MATCH(CQ$1,Products,0),2)="Cores",IF(HostBuild[Use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 s="59">
        <f>IFERROR(IF(FIND(CR$1,$W9)&gt;0,IF(INDEX([1]!Product_Pricing_Table[#Data],MATCH(CR$1,Products,0),2)="Cores",IF(HostBuild[Use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 s="59">
        <f>IFERROR(IF(FIND(CS$1,$W9)&gt;0,IF(INDEX([1]!Product_Pricing_Table[#Data],MATCH(CS$1,Products,0),2)="Cores",IF(HostBuild[Use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 s="59">
        <f>IFERROR(IF(FIND(CT$1,$W9)&gt;0,IF(INDEX([1]!Product_Pricing_Table[#Data],MATCH(CT$1,Products,0),2)="Cores",IF(HostBuild[Use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 s="59">
        <f>IFERROR(IF(FIND(CU$1,$W9)&gt;0,IF(INDEX([1]!Product_Pricing_Table[#Data],MATCH(CU$1,Products,0),2)="Cores",IF(HostBuild[Use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 s="59">
        <f>IFERROR(IF(FIND(CV$1,$W9)&gt;0,IF(INDEX([1]!Product_Pricing_Table[#Data],MATCH(CV$1,Products,0),2)="Cores",IF(HostBuild[Use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 s="59">
        <f>IFERROR(IF(FIND(CW$1,$W9)&gt;0,IF(INDEX([1]!Product_Pricing_Table[#Data],MATCH(CW$1,Products,0),2)="Cores",IF(HostBuild[Use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 s="59">
        <f>IFERROR(IF(FIND(CX$1,$W9)&gt;0,IF(INDEX([1]!Product_Pricing_Table[#Data],MATCH(CX$1,Products,0),2)="Cores",IF(HostBuild[Use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 s="59">
        <f>IFERROR(IF(FIND(CY$1,$W9)&gt;0,IF(INDEX([1]!Product_Pricing_Table[#Data],MATCH(CY$1,Products,0),2)="Cores",IF(HostBuild[Use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 s="59">
        <f>IFERROR(IF(FIND(CZ$1,$W9)&gt;0,IF(INDEX([1]!Product_Pricing_Table[#Data],MATCH(CZ$1,Products,0),2)="Cores",IF(HostBuild[Use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 s="59">
        <f>IFERROR(IF(FIND(DA$1,$W9)&gt;0,IF(INDEX([1]!Product_Pricing_Table[#Data],MATCH(DA$1,Products,0),2)="Cores",IF(HostBuild[Use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 s="59">
        <f>IFERROR(IF(FIND(DB$1,$W9)&gt;0,IF(INDEX([1]!Product_Pricing_Table[#Data],MATCH(DB$1,Products,0),2)="Cores",IF(HostBuild[Use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 s="59">
        <f>IFERROR(IF(FIND(DC$1,$W9)&gt;0,IF(INDEX([1]!Product_Pricing_Table[#Data],MATCH(DC$1,Products,0),2)="Cores",IF(HostBuild[Use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 s="59">
        <f>IFERROR(IF(FIND(DD$1,$W9)&gt;0,IF(INDEX([1]!Product_Pricing_Table[#Data],MATCH(DD$1,Products,0),2)="Cores",IF(HostBuild[Use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 s="59">
        <f>IFERROR(IF(FIND(DE$1,$W9)&gt;0,IF(INDEX([1]!Product_Pricing_Table[#Data],MATCH(DE$1,Products,0),2)="Cores",IF(HostBuild[Use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 s="60">
        <f>IFERROR(IF(FIND(DF$1,$W9)&gt;0,IF(INDEX([1]!Product_Pricing_Table[#Data],MATCH(DF$1,Products,0),2)="Cores",IF(HostBuild[Use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 s="60">
        <f>IFERROR(IF(FIND(DG$1,$W9)&gt;0,IF(INDEX([1]!Product_Pricing_Table[#Data],MATCH(DG$1,Products,0),2)="Cores",IF(HostBuild[Use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 s="59">
        <f>IFERROR(IF(FIND(DH$1,$W9)&gt;0,IF(INDEX([1]!Product_Pricing_Table[#Data],MATCH(DH$1,Products,0),2)="Cores",IF(HostBuild[Use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 s="60">
        <f>IFERROR(IF(FIND(DI$1,$W9)&gt;0,IF(INDEX([1]!Product_Pricing_Table[#Data],MATCH(DI$1,Products,0),2)="Cores",IF(HostBuild[Use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 s="59">
        <f>IFERROR(IF(FIND(DJ$1,$W9)&gt;0,IF(INDEX([1]!Product_Pricing_Table[#Data],MATCH(DJ$1,Products,0),2)="Cores",IF(HostBuild[Use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 s="59">
        <f>IFERROR(IF(FIND(DK$1,$W9)&gt;0,IF(INDEX([1]!Product_Pricing_Table[#Data],MATCH(DK$1,Products,0),2)="Cores",IF(HostBuild[Use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 s="59">
        <f>IFERROR(IF(FIND(DL$1,$W9)&gt;0,IF(INDEX([1]!Product_Pricing_Table[#Data],MATCH(DL$1,Products,0),2)="Cores",IF(HostBuild[Use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 s="59">
        <f>IFERROR(IF(FIND(DM$1,$W9)&gt;0,IF(INDEX([1]!Product_Pricing_Table[#Data],MATCH(DM$1,Products,0),2)="Cores",IF(HostBuild[Use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 s="59">
        <f>IFERROR(IF(FIND(DN$1,$W9)&gt;0,IF(INDEX([1]!Product_Pricing_Table[#Data],MATCH(DN$1,Products,0),2)="Cores",IF(HostBuild[Use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 s="59">
        <f>IFERROR(IF(FIND(DO$1,$W9)&gt;0,IF(INDEX([1]!Product_Pricing_Table[#Data],MATCH(DO$1,Products,0),2)="Cores",IF(HostBuild[Use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 s="59">
        <f>IFERROR(IF(FIND(DP$1,$W9)&gt;0,IF(INDEX([1]!Product_Pricing_Table[#Data],MATCH(DP$1,Products,0),2)="Cores",IF(HostBuild[Use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 s="59">
        <f>IFERROR(IF(FIND(DQ$1,$W9)&gt;0,IF(INDEX([1]!Product_Pricing_Table[#Data],MATCH(DQ$1,Products,0),2)="Cores",IF(HostBuild[Use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 s="59">
        <f>IFERROR(IF(FIND(DR$1,$W9)&gt;0,IF(INDEX([1]!Product_Pricing_Table[#Data],MATCH(DR$1,Products,0),2)="Cores",IF(HostBuild[Use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 s="59">
        <f>IFERROR(IF(FIND(DS$1,$W9)&gt;0,IF(INDEX([1]!Product_Pricing_Table[#Data],MATCH(DS$1,Products,0),2)="Cores",IF(HostBuild[Use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 s="59">
        <f>IFERROR(IF(FIND(DT$1,$W9)&gt;0,IF(INDEX([1]!Product_Pricing_Table[#Data],MATCH(DT$1,Products,0),2)="Cores",IF(HostBuild[Use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 s="59">
        <f>IFERROR(IF(FIND(DU$1,$W9)&gt;0,IF(INDEX([1]!Product_Pricing_Table[#Data],MATCH(DU$1,Products,0),2)="Cores",IF(HostBuild[Use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 s="59">
        <f>IFERROR(IF(FIND(DV$1,$W9)&gt;0,IF(INDEX([1]!Product_Pricing_Table[#Data],MATCH(DV$1,Products,0),2)="Cores",IF(HostBuild[Use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 s="59">
        <f>IFERROR(IF(FIND(DW$1,$W9)&gt;0,IF(INDEX([1]!Product_Pricing_Table[#Data],MATCH(DW$1,Products,0),2)="Cores",IF(HostBuild[Use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 s="59">
        <f>IFERROR(IF(FIND(DX$1,$W9)&gt;0,IF(INDEX([1]!Product_Pricing_Table[#Data],MATCH(DX$1,Products,0),2)="Cores",IF(HostBuild[Use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 s="59">
        <f>IFERROR(IF(FIND(DY$1,$W9)&gt;0,IF(INDEX([1]!Product_Pricing_Table[#Data],MATCH(DY$1,Products,0),2)="Cores",IF(HostBuild[Use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 s="59">
        <f>IFERROR(IF(FIND(DZ$1,$W9)&gt;0,IF(INDEX([1]!Product_Pricing_Table[#Data],MATCH(DZ$1,Products,0),2)="Cores",IF(HostBuild[Use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 s="59">
        <f>IFERROR(IF(FIND(EA$1,$W9)&gt;0,IF(INDEX([1]!Product_Pricing_Table[#Data],MATCH(EA$1,Products,0),2)="Cores",IF(HostBuild[Use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 s="59">
        <f>IFERROR(IF(FIND(EB$1,$W9)&gt;0,IF(INDEX([1]!Product_Pricing_Table[#Data],MATCH(EB$1,Products,0),2)="Cores",IF(HostBuild[Use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 s="60">
        <f>IFERROR(IF(FIND(EC$1,$W9)&gt;0,IF(INDEX([1]!Product_Pricing_Table[#Data],MATCH(EC$1,Products,0),2)="Cores",IF(HostBuild[Use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 s="59">
        <f>IFERROR(IF(FIND(ED$1,$W9)&gt;0,IF(INDEX([1]!Product_Pricing_Table[#Data],MATCH(ED$1,Products,0),2)="Cores",IF(HostBuild[Use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 s="59">
        <f>IFERROR(IF(FIND(EE$1,$W9)&gt;0,IF(INDEX([1]!Product_Pricing_Table[#Data],MATCH(EE$1,Products,0),2)="Cores",IF(HostBuild[Use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 s="59">
        <f>IFERROR(IF(FIND(EF$1,$W9)&gt;0,IF(INDEX([1]!Product_Pricing_Table[#Data],MATCH(EF$1,Products,0),2)="Cores",IF(HostBuild[Use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 s="59">
        <f>IFERROR(IF(FIND(EG$1,$W9)&gt;0,IF(INDEX([1]!Product_Pricing_Table[#Data],MATCH(EG$1,Products,0),2)="Cores",IF(HostBuild[Use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 s="59">
        <f>IFERROR(IF(FIND(EH$1,$W9)&gt;0,IF(INDEX([1]!Product_Pricing_Table[#Data],MATCH(EH$1,Products,0),2)="Cores",IF(HostBuild[Use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 s="59">
        <f>IFERROR(IF(FIND(EI$1,$W9)&gt;0,IF(INDEX([1]!Product_Pricing_Table[#Data],MATCH(EI$1,Products,0),2)="Cores",IF(HostBuild[Use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 s="59">
        <f>IFERROR(IF(FIND(EJ$1,$W9)&gt;0,IF(INDEX([1]!Product_Pricing_Table[#Data],MATCH(EJ$1,Products,0),2)="Cores",IF(HostBuild[Use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 s="60">
        <f>IFERROR(IF(FIND(EK$1,$W9)&gt;0,IF(INDEX([1]!Product_Pricing_Table[#Data],MATCH(EK$1,Products,0),2)="Cores",IF(HostBuild[Use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 s="61"/>
      <c r="EM9" s="62"/>
      <c r="EN9" s="63"/>
      <c r="EO9"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72.118000000000009</v>
      </c>
      <c r="EQ9" s="132">
        <f>(HostBuild[Archive
Full (GB)]+HostBuild[Archive
Incr (GB)])*Storage_DC_Dist_Tape_2014</f>
        <v>6.7821249999999997</v>
      </c>
      <c r="ER9" s="132">
        <f>IF(ISNUMBER(HostBuild[Server HW Costs
(Monthly)]),SUM(HostBuild[[#This Row],[Server HW Costs
(Monthly)]:[Tape Costs
(Monthly)]]),0)</f>
        <v>78.900125000000003</v>
      </c>
      <c r="ES9" s="65">
        <f>HostBuild[Software Costs
'[Year 1']
(Monthly)]+HostBuild[Total Hardware Costs
(Monthly)]</f>
        <v>78.900125000000003</v>
      </c>
      <c r="ET9" s="65">
        <f>IFERROR(IF(FIND("Safenet",HostBuild[Server Model]),Safenet_PSE_PL600_Maint,0),0)+IFERROR(IF(FIND("XI52",HostBuild[Server Model]),IBM_DIA_XI52_Maint,0),0)+HostBuild[Software Costs
'[After Year 1']
(Monthly)]+HostBuild[Total Hardware Costs
(Monthly)]</f>
        <v>78.900125000000003</v>
      </c>
      <c r="EU9" s="66">
        <f>SUM(HostBuild[[#This Row],[Server Cost Breakdown]:[Network Cost]])</f>
        <v>0</v>
      </c>
      <c r="EV9" s="67">
        <f>IF(HostBuild[Existing Server?]="Yes - Inside this BoM",0,SUMIF(HostBuild[Alias],HostBuild[Alias],HostBuild[CPU])+SUMIF(HostBuild[Alias],HostBuild[Alias],HostBuild[Existing CPUs]))</f>
        <v>0</v>
      </c>
      <c r="EW9" s="67">
        <f>IF(HostBuild[Existing Server?]="Yes - Inside this BoM",0,SUMIF(HostBuild[Alias],HostBuild[Alias],HostBuild[Cores 
(Licensed Units)])+SUMIF(HostBuild[Alias],HostBuild[Alias],HostBuild[Existing Cores]))</f>
        <v>0</v>
      </c>
      <c r="EX9" s="67">
        <f>IF(HostBuild[Existing Server?]="Yes - Inside this BoM",0,SUMIF(HostBuild[Alias],HostBuild[Alias],HostBuild[RAM 
(GB)])+SUMIF(HostBuild[Alias],HostBuild[Alias],HostBuild[Existing RAM (GB)]))</f>
        <v>0</v>
      </c>
      <c r="EY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 s="66">
        <f>IF(ISBLANK(HostBuild[Server Model]),0,IF(HostBuild[Server Tier]="VMware",0,VLOOKUP(HostBuild[Server Tier],[1]!ServerTierRates[#Data],2,0))*HostBuild[CPU]*IF(AND(HostBuild[Server Type]="pSeries",HostBuild[Virtual Platform Storage Type]="Cloud-SAN"),0.25,1))</f>
        <v>0</v>
      </c>
      <c r="FD9" s="66">
        <f>0</f>
        <v>0</v>
      </c>
      <c r="FE9" s="66">
        <f>IF(HostBuild[Server Type]="VMware",HostBuild[RAM 
(GB)]*IF(ISERROR(FIND("DevCloud", HostBuild[Server Model])&gt;0),vRAM_per_vCPU_2014_Monthly,vRAM_per_vCPU_2014_Daily*30),0)</f>
        <v>0</v>
      </c>
      <c r="FF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 s="69">
        <f>IF(HostBuild[Server Tier]="VMware",0,IF(LEFT(HostBuild[Existing Server?],3)="Yes",0,IF(OR(HostBuild[Server Type]="Sun",HostBuild[Server Type]="pSeries"),Support_Direct_Server_Sun_per_OS_2014,IF(HostBuild[Server Type]="x86",Support_Direct_Server_x86_Wintel_per_OS_2014,0))))</f>
        <v>0</v>
      </c>
      <c r="FI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 spans="1:178" hidden="1">
      <c r="A10" s="122" t="s">
        <v>53</v>
      </c>
      <c r="B10" s="36"/>
      <c r="C10" s="36"/>
      <c r="D10" s="36"/>
      <c r="E10" s="37"/>
      <c r="F10" s="37"/>
      <c r="G10" s="103"/>
      <c r="H10" s="103"/>
      <c r="I10" s="38"/>
      <c r="J10" s="37"/>
      <c r="K10" s="37"/>
      <c r="L10" s="37"/>
      <c r="M10" s="103" t="e">
        <f ca="1">IF(rngIsDate(HostBuild[CTO Acceptance]),"Y","N")</f>
        <v>#NAME?</v>
      </c>
      <c r="N10" s="123" t="s">
        <v>4</v>
      </c>
      <c r="O10" s="39"/>
      <c r="P10" s="39"/>
      <c r="Q10" s="123" t="s">
        <v>0</v>
      </c>
      <c r="R10" s="126" t="str">
        <f>IF(NOT(ISBLANK(HostBuild[Env Label])),IFERROR(VLOOKUP(HostBuild[Env Label],[1]!tEnv[#Data],3,FALSE),""),"")</f>
        <v/>
      </c>
      <c r="S10" s="104"/>
      <c r="T10" s="40"/>
      <c r="U10" s="105"/>
      <c r="V10" s="123" t="s">
        <v>75</v>
      </c>
      <c r="W10" s="123" t="s">
        <v>70</v>
      </c>
      <c r="X10" s="123" t="s">
        <v>57</v>
      </c>
      <c r="Y10" s="123" t="s">
        <v>58</v>
      </c>
      <c r="Z10" s="126" t="str">
        <f>IF(NOT(ISBLANK(HostBuild[[#This Row],[Product 
(Acronym)]])),CONCATENATE(HostBuild[[#This Row],[Type]],"-",HostBuild[[#This Row],[Product 
(Acronym)]]),"")</f>
        <v>AP-ESB</v>
      </c>
      <c r="AA10" s="106"/>
      <c r="AB10" s="106" t="s">
        <v>76</v>
      </c>
      <c r="AC10" s="41"/>
      <c r="AD10" s="42"/>
      <c r="AE10" s="42"/>
      <c r="AF10" s="43"/>
      <c r="AG10" s="124"/>
      <c r="AH10" s="107"/>
      <c r="AI10" s="124" t="s">
        <v>77</v>
      </c>
      <c r="AJ10" s="123">
        <f>IF(COUNTIF(HostBuild[Alias],HostBuild[Alias]),1/COUNTIF(HostBuild[Alias],HostBuild[Alias]),0)</f>
        <v>1</v>
      </c>
      <c r="AK10" s="124"/>
      <c r="AL10" s="124"/>
      <c r="AM10" s="44" t="s">
        <v>62</v>
      </c>
      <c r="AN10" s="45" t="str">
        <f>IF(NOT(ISBLANK(HostBuild[Server Model])),VLOOKUP(HostBuild[Server Model],[1]!ServerModelsTier[#Data],2,FALSE),"")</f>
        <v>x86 Tier 3</v>
      </c>
      <c r="AO10" s="45" t="str">
        <f>IF(NOT(ISBLANK(HostBuild[Server Model])),VLOOKUP(HostBuild[Server Model],[1]!ServerModelsTier[#Data],5,FALSE),"")</f>
        <v>x86</v>
      </c>
      <c r="AP10" s="44"/>
      <c r="AQ10" s="44" t="s">
        <v>63</v>
      </c>
      <c r="AR10" s="46">
        <v>2</v>
      </c>
      <c r="AS10" s="108"/>
      <c r="AT10" s="47">
        <v>16</v>
      </c>
      <c r="AU10" s="109" t="str">
        <f>IF(IFERROR(FIND("P-Series",HostBuild[Server Tier]),0),CEILING((HostBuild[Existing CPUs]+HostBuild[CPU])*16,8),"")</f>
        <v/>
      </c>
      <c r="AV10" s="48">
        <v>256</v>
      </c>
      <c r="AW10" s="124"/>
      <c r="AX10" s="124"/>
      <c r="AY10" s="124"/>
      <c r="AZ10" s="49"/>
      <c r="BA10" s="124"/>
      <c r="BB10" s="124"/>
      <c r="BC10" s="42"/>
      <c r="BD10" s="124"/>
      <c r="BE10" s="124"/>
      <c r="BF10" s="124"/>
      <c r="BG10" s="124"/>
      <c r="BH10" s="124"/>
      <c r="BI10" s="124"/>
      <c r="BJ10" s="124"/>
      <c r="BK10"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0" s="127">
        <v>120</v>
      </c>
      <c r="BM10" s="129">
        <f>IF(ISNUMBER(HostBuild[Recommended SAN (GB)]),HostBuild[Recommended SAN (GB)])+IF(HostBuild[Additional SAN (GB)]&gt;0,CEILING(HostBuild[Additional SAN (GB)],LUN),-(CEILING(-HostBuild[Additional SAN (GB)],LUN)))</f>
        <v>471.8</v>
      </c>
      <c r="BN10" s="128"/>
      <c r="BO10" s="129">
        <f>HostBuild[SAN (GB)
NEEDED TODAY]+CEILING(HostBuild[SAN (GB)
RESERVED
DO NOT USE TO BUILD], LUN)</f>
        <v>471.8</v>
      </c>
      <c r="BP10" s="130">
        <v>120</v>
      </c>
      <c r="BQ10" s="131"/>
      <c r="BR10" s="125" t="s">
        <v>64</v>
      </c>
      <c r="BS10" s="110">
        <f>IF(HostBuild[Existing Server?]&lt;&gt;"Yes - Inside this BoM",IF(ISNUMBER(HostBuild[RAM 
(GB)]),IF(HostBuild[Existing RAM (GB)]+HostBuild[RAM 
(GB)]&gt;0,IF(HostBuild[Virtual Platform Storage Type]="NAS",110+HostBuild[Existing RAM (GB)]+HostBuild[RAM 
(GB)]*1.75,0),0),0),0)</f>
        <v>0</v>
      </c>
      <c r="BT10" s="111"/>
      <c r="BU10" s="112">
        <f>IF(ISNUMBER(HostBuild[Recommended NAS (GB)]),HostBuild[Recommended NAS (GB)])+HostBuild[Additional NAS (GB)]</f>
        <v>0</v>
      </c>
      <c r="BV10" s="50"/>
      <c r="BW10" s="50"/>
      <c r="BX10" s="133">
        <f>IFERROR((HostBuild[SAN (GB)
End-State
DO NOT USE TO BUILD]+HostBuild[SAN (GB) Shared])*25%,"")</f>
        <v>147.94999999999999</v>
      </c>
      <c r="BY10" s="113">
        <f>IFERROR(HostBuild[Archive
Full (GB)]*15%,"")</f>
        <v>22.192499999999999</v>
      </c>
      <c r="BZ10" s="51"/>
      <c r="CA10" s="51"/>
      <c r="CB10" s="52"/>
      <c r="CC10" s="53"/>
      <c r="CD10" s="52"/>
      <c r="CE10" s="54"/>
      <c r="CF10" s="128"/>
      <c r="CG10" s="114"/>
      <c r="CH10" s="55"/>
      <c r="CI10" s="56"/>
      <c r="CJ10" s="57" t="s">
        <v>78</v>
      </c>
      <c r="CK10" s="58"/>
      <c r="CL10" s="59">
        <f>IFERROR(IF(FIND(CL$1,$W10)&gt;0,IF(INDEX([1]!Product_Pricing_Table[#Data],MATCH(CL$1,Products,0),2)="Cores",IF(HostBuild[Use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 s="59">
        <f>IFERROR(IF(FIND(CM$1,$W10)&gt;0,IF(INDEX([1]!Product_Pricing_Table[#Data],MATCH(CM$1,Products,0),2)="Cores",IF(HostBuild[Use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0" s="59">
        <f>IFERROR(IF(FIND(CN$1,$W10)&gt;0,IF(INDEX([1]!Product_Pricing_Table[#Data],MATCH(CN$1,Products,0),2)="Cores",IF(HostBuild[Use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 s="59">
        <f>IFERROR(IF(FIND(CO$1,$W10)&gt;0,IF(INDEX([1]!Product_Pricing_Table[#Data],MATCH(CO$1,Products,0),2)="Cores",IF(HostBuild[Use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 s="59">
        <f>IFERROR(IF(FIND(CP$1,$W10)&gt;0,IF(INDEX([1]!Product_Pricing_Table[#Data],MATCH(CP$1,Products,0),2)="Cores",IF(HostBuild[Use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 s="59">
        <f>IFERROR(IF(FIND(CQ$1,$W10)&gt;0,IF(INDEX([1]!Product_Pricing_Table[#Data],MATCH(CQ$1,Products,0),2)="Cores",IF(HostBuild[Use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 s="59">
        <f>IFERROR(IF(FIND(CR$1,$W10)&gt;0,IF(INDEX([1]!Product_Pricing_Table[#Data],MATCH(CR$1,Products,0),2)="Cores",IF(HostBuild[Use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 s="59">
        <f>IFERROR(IF(FIND(CS$1,$W10)&gt;0,IF(INDEX([1]!Product_Pricing_Table[#Data],MATCH(CS$1,Products,0),2)="Cores",IF(HostBuild[Use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 s="59">
        <f>IFERROR(IF(FIND(CT$1,$W10)&gt;0,IF(INDEX([1]!Product_Pricing_Table[#Data],MATCH(CT$1,Products,0),2)="Cores",IF(HostBuild[Use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 s="59">
        <f>IFERROR(IF(FIND(CU$1,$W10)&gt;0,IF(INDEX([1]!Product_Pricing_Table[#Data],MATCH(CU$1,Products,0),2)="Cores",IF(HostBuild[Use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0" s="59">
        <f>IFERROR(IF(FIND(CV$1,$W10)&gt;0,IF(INDEX([1]!Product_Pricing_Table[#Data],MATCH(CV$1,Products,0),2)="Cores",IF(HostBuild[Use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 s="59">
        <f>IFERROR(IF(FIND(CW$1,$W10)&gt;0,IF(INDEX([1]!Product_Pricing_Table[#Data],MATCH(CW$1,Products,0),2)="Cores",IF(HostBuild[Use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 s="59">
        <f>IFERROR(IF(FIND(CX$1,$W10)&gt;0,IF(INDEX([1]!Product_Pricing_Table[#Data],MATCH(CX$1,Products,0),2)="Cores",IF(HostBuild[Use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0" s="59">
        <f>IFERROR(IF(FIND(CY$1,$W10)&gt;0,IF(INDEX([1]!Product_Pricing_Table[#Data],MATCH(CY$1,Products,0),2)="Cores",IF(HostBuild[Use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 s="59">
        <f>IFERROR(IF(FIND(CZ$1,$W10)&gt;0,IF(INDEX([1]!Product_Pricing_Table[#Data],MATCH(CZ$1,Products,0),2)="Cores",IF(HostBuild[Use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 s="59">
        <f>IFERROR(IF(FIND(DA$1,$W10)&gt;0,IF(INDEX([1]!Product_Pricing_Table[#Data],MATCH(DA$1,Products,0),2)="Cores",IF(HostBuild[Use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 s="59">
        <f>IFERROR(IF(FIND(DB$1,$W10)&gt;0,IF(INDEX([1]!Product_Pricing_Table[#Data],MATCH(DB$1,Products,0),2)="Cores",IF(HostBuild[Use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 s="59">
        <f>IFERROR(IF(FIND(DC$1,$W10)&gt;0,IF(INDEX([1]!Product_Pricing_Table[#Data],MATCH(DC$1,Products,0),2)="Cores",IF(HostBuild[Use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 s="59">
        <f>IFERROR(IF(FIND(DD$1,$W10)&gt;0,IF(INDEX([1]!Product_Pricing_Table[#Data],MATCH(DD$1,Products,0),2)="Cores",IF(HostBuild[Use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 s="59">
        <f>IFERROR(IF(FIND(DE$1,$W10)&gt;0,IF(INDEX([1]!Product_Pricing_Table[#Data],MATCH(DE$1,Products,0),2)="Cores",IF(HostBuild[Use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 s="60">
        <f>IFERROR(IF(FIND(DF$1,$W10)&gt;0,IF(INDEX([1]!Product_Pricing_Table[#Data],MATCH(DF$1,Products,0),2)="Cores",IF(HostBuild[Use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 s="60">
        <f>IFERROR(IF(FIND(DG$1,$W10)&gt;0,IF(INDEX([1]!Product_Pricing_Table[#Data],MATCH(DG$1,Products,0),2)="Cores",IF(HostBuild[Use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 s="59">
        <f>IFERROR(IF(FIND(DH$1,$W10)&gt;0,IF(INDEX([1]!Product_Pricing_Table[#Data],MATCH(DH$1,Products,0),2)="Cores",IF(HostBuild[Use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 s="60">
        <f>IFERROR(IF(FIND(DI$1,$W10)&gt;0,IF(INDEX([1]!Product_Pricing_Table[#Data],MATCH(DI$1,Products,0),2)="Cores",IF(HostBuild[Use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 s="59">
        <f>IFERROR(IF(FIND(DJ$1,$W10)&gt;0,IF(INDEX([1]!Product_Pricing_Table[#Data],MATCH(DJ$1,Products,0),2)="Cores",IF(HostBuild[Use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 s="59">
        <f>IFERROR(IF(FIND(DK$1,$W10)&gt;0,IF(INDEX([1]!Product_Pricing_Table[#Data],MATCH(DK$1,Products,0),2)="Cores",IF(HostBuild[Use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 s="59">
        <f>IFERROR(IF(FIND(DL$1,$W10)&gt;0,IF(INDEX([1]!Product_Pricing_Table[#Data],MATCH(DL$1,Products,0),2)="Cores",IF(HostBuild[Use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 s="59">
        <f>IFERROR(IF(FIND(DM$1,$W10)&gt;0,IF(INDEX([1]!Product_Pricing_Table[#Data],MATCH(DM$1,Products,0),2)="Cores",IF(HostBuild[Use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 s="59">
        <f>IFERROR(IF(FIND(DN$1,$W10)&gt;0,IF(INDEX([1]!Product_Pricing_Table[#Data],MATCH(DN$1,Products,0),2)="Cores",IF(HostBuild[Use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 s="59">
        <f>IFERROR(IF(FIND(DO$1,$W10)&gt;0,IF(INDEX([1]!Product_Pricing_Table[#Data],MATCH(DO$1,Products,0),2)="Cores",IF(HostBuild[Use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 s="59">
        <f>IFERROR(IF(FIND(DP$1,$W10)&gt;0,IF(INDEX([1]!Product_Pricing_Table[#Data],MATCH(DP$1,Products,0),2)="Cores",IF(HostBuild[Use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 s="59">
        <f>IFERROR(IF(FIND(DQ$1,$W10)&gt;0,IF(INDEX([1]!Product_Pricing_Table[#Data],MATCH(DQ$1,Products,0),2)="Cores",IF(HostBuild[Use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 s="59">
        <f>IFERROR(IF(FIND(DR$1,$W10)&gt;0,IF(INDEX([1]!Product_Pricing_Table[#Data],MATCH(DR$1,Products,0),2)="Cores",IF(HostBuild[Use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 s="59">
        <f>IFERROR(IF(FIND(DS$1,$W10)&gt;0,IF(INDEX([1]!Product_Pricing_Table[#Data],MATCH(DS$1,Products,0),2)="Cores",IF(HostBuild[Use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 s="59">
        <f>IFERROR(IF(FIND(DT$1,$W10)&gt;0,IF(INDEX([1]!Product_Pricing_Table[#Data],MATCH(DT$1,Products,0),2)="Cores",IF(HostBuild[Use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 s="59">
        <f>IFERROR(IF(FIND(DU$1,$W10)&gt;0,IF(INDEX([1]!Product_Pricing_Table[#Data],MATCH(DU$1,Products,0),2)="Cores",IF(HostBuild[Use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 s="59">
        <f>IFERROR(IF(FIND(DV$1,$W10)&gt;0,IF(INDEX([1]!Product_Pricing_Table[#Data],MATCH(DV$1,Products,0),2)="Cores",IF(HostBuild[Use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 s="59">
        <f>IFERROR(IF(FIND(DW$1,$W10)&gt;0,IF(INDEX([1]!Product_Pricing_Table[#Data],MATCH(DW$1,Products,0),2)="Cores",IF(HostBuild[Use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 s="59">
        <f>IFERROR(IF(FIND(DX$1,$W10)&gt;0,IF(INDEX([1]!Product_Pricing_Table[#Data],MATCH(DX$1,Products,0),2)="Cores",IF(HostBuild[Use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 s="59">
        <f>IFERROR(IF(FIND(DY$1,$W10)&gt;0,IF(INDEX([1]!Product_Pricing_Table[#Data],MATCH(DY$1,Products,0),2)="Cores",IF(HostBuild[Use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 s="59">
        <f>IFERROR(IF(FIND(DZ$1,$W10)&gt;0,IF(INDEX([1]!Product_Pricing_Table[#Data],MATCH(DZ$1,Products,0),2)="Cores",IF(HostBuild[Use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 s="59">
        <f>IFERROR(IF(FIND(EA$1,$W10)&gt;0,IF(INDEX([1]!Product_Pricing_Table[#Data],MATCH(EA$1,Products,0),2)="Cores",IF(HostBuild[Use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 s="59">
        <f>IFERROR(IF(FIND(EB$1,$W10)&gt;0,IF(INDEX([1]!Product_Pricing_Table[#Data],MATCH(EB$1,Products,0),2)="Cores",IF(HostBuild[Use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 s="60">
        <f>IFERROR(IF(FIND(EC$1,$W10)&gt;0,IF(INDEX([1]!Product_Pricing_Table[#Data],MATCH(EC$1,Products,0),2)="Cores",IF(HostBuild[Use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 s="59">
        <f>IFERROR(IF(FIND(ED$1,$W10)&gt;0,IF(INDEX([1]!Product_Pricing_Table[#Data],MATCH(ED$1,Products,0),2)="Cores",IF(HostBuild[Use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 s="59">
        <f>IFERROR(IF(FIND(EE$1,$W10)&gt;0,IF(INDEX([1]!Product_Pricing_Table[#Data],MATCH(EE$1,Products,0),2)="Cores",IF(HostBuild[Use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 s="59">
        <f>IFERROR(IF(FIND(EF$1,$W10)&gt;0,IF(INDEX([1]!Product_Pricing_Table[#Data],MATCH(EF$1,Products,0),2)="Cores",IF(HostBuild[Use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 s="59">
        <f>IFERROR(IF(FIND(EG$1,$W10)&gt;0,IF(INDEX([1]!Product_Pricing_Table[#Data],MATCH(EG$1,Products,0),2)="Cores",IF(HostBuild[Use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 s="59">
        <f>IFERROR(IF(FIND(EH$1,$W10)&gt;0,IF(INDEX([1]!Product_Pricing_Table[#Data],MATCH(EH$1,Products,0),2)="Cores",IF(HostBuild[Use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 s="59">
        <f>IFERROR(IF(FIND(EI$1,$W10)&gt;0,IF(INDEX([1]!Product_Pricing_Table[#Data],MATCH(EI$1,Products,0),2)="Cores",IF(HostBuild[Use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 s="59">
        <f>IFERROR(IF(FIND(EJ$1,$W10)&gt;0,IF(INDEX([1]!Product_Pricing_Table[#Data],MATCH(EJ$1,Products,0),2)="Cores",IF(HostBuild[Use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 s="60">
        <f>IFERROR(IF(FIND(EK$1,$W10)&gt;0,IF(INDEX([1]!Product_Pricing_Table[#Data],MATCH(EK$1,Products,0),2)="Cores",IF(HostBuild[Use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 s="61"/>
      <c r="EM10" s="62">
        <v>6359.75</v>
      </c>
      <c r="EN10" s="63">
        <v>899.755</v>
      </c>
      <c r="EO10"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723.202</v>
      </c>
      <c r="EQ10" s="132">
        <f>(HostBuild[Archive
Full (GB)]+HostBuild[Archive
Incr (GB)])*Storage_DC_Dist_Tape_2014</f>
        <v>59.549874999999993</v>
      </c>
      <c r="ER10" s="132">
        <f>IF(ISNUMBER(HostBuild[Server HW Costs
(Monthly)]),SUM(HostBuild[[#This Row],[Server HW Costs
(Monthly)]:[Tape Costs
(Monthly)]]),0)</f>
        <v>1786.6518749999998</v>
      </c>
      <c r="ES10" s="65">
        <f>HostBuild[Software Costs
'[Year 1']
(Monthly)]+HostBuild[Total Hardware Costs
(Monthly)]</f>
        <v>8146.4018749999996</v>
      </c>
      <c r="ET10" s="65">
        <f>IFERROR(IF(FIND("Safenet",HostBuild[Server Model]),Safenet_PSE_PL600_Maint,0),0)+IFERROR(IF(FIND("XI52",HostBuild[Server Model]),IBM_DIA_XI52_Maint,0),0)+HostBuild[Software Costs
'[After Year 1']
(Monthly)]+HostBuild[Total Hardware Costs
(Monthly)]</f>
        <v>2686.4068749999997</v>
      </c>
      <c r="EU10" s="66">
        <f>SUM(HostBuild[[#This Row],[Server Cost Breakdown]:[Network Cost]])</f>
        <v>1003.9</v>
      </c>
      <c r="EV10" s="67">
        <f>IF(HostBuild[Existing Server?]="Yes - Inside this BoM",0,SUMIF(HostBuild[Alias],HostBuild[Alias],HostBuild[CPU])+SUMIF(HostBuild[Alias],HostBuild[Alias],HostBuild[Existing CPUs]))</f>
        <v>2</v>
      </c>
      <c r="EW10" s="67">
        <f>IF(HostBuild[Existing Server?]="Yes - Inside this BoM",0,SUMIF(HostBuild[Alias],HostBuild[Alias],HostBuild[Cores 
(Licensed Units)])+SUMIF(HostBuild[Alias],HostBuild[Alias],HostBuild[Existing Cores]))</f>
        <v>16</v>
      </c>
      <c r="EX10" s="67">
        <f>IF(HostBuild[Existing Server?]="Yes - Inside this BoM",0,SUMIF(HostBuild[Alias],HostBuild[Alias],HostBuild[RAM 
(GB)])+SUMIF(HostBuild[Alias],HostBuild[Alias],HostBuild[Existing RAM (GB)]))</f>
        <v>256</v>
      </c>
      <c r="EY1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 s="66">
        <f>IF(ISBLANK(HostBuild[Server Model]),0,IF(HostBuild[Server Tier]="VMware",0,VLOOKUP(HostBuild[Server Tier],[1]!ServerTierRates[#Data],2,0))*HostBuild[CPU]*IF(AND(HostBuild[Server Type]="pSeries",HostBuild[Virtual Platform Storage Type]="Cloud-SAN"),0.25,1))</f>
        <v>608</v>
      </c>
      <c r="FD10" s="66">
        <f>0</f>
        <v>0</v>
      </c>
      <c r="FE10" s="66">
        <f>IF(HostBuild[Server Type]="VMware",HostBuild[RAM 
(GB)]*IF(ISERROR(FIND("DevCloud", HostBuild[Server Model])&gt;0),vRAM_per_vCPU_2014_Monthly,vRAM_per_vCPU_2014_Daily*30),0)</f>
        <v>0</v>
      </c>
      <c r="FF1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 s="69">
        <f>IF(HostBuild[Server Tier]="VMware",0,IF(LEFT(HostBuild[Existing Server?],3)="Yes",0,IF(OR(HostBuild[Server Type]="Sun",HostBuild[Server Type]="pSeries"),Support_Direct_Server_Sun_per_OS_2014,IF(HostBuild[Server Type]="x86",Support_Direct_Server_x86_Wintel_per_OS_2014,0))))</f>
        <v>187.1</v>
      </c>
      <c r="FI1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 spans="1:178" ht="15" hidden="1" customHeight="1">
      <c r="A11" s="122" t="s">
        <v>53</v>
      </c>
      <c r="B11" s="36"/>
      <c r="C11" s="36"/>
      <c r="D11" s="36"/>
      <c r="E11" s="37"/>
      <c r="F11" s="37"/>
      <c r="G11" s="103"/>
      <c r="H11" s="103"/>
      <c r="I11" s="38"/>
      <c r="J11" s="37"/>
      <c r="K11" s="37"/>
      <c r="L11" s="37"/>
      <c r="M11" s="103" t="e">
        <f ca="1">IF(rngIsDate(HostBuild[CTO Acceptance]),"Y","N")</f>
        <v>#NAME?</v>
      </c>
      <c r="N11" s="123" t="s">
        <v>4</v>
      </c>
      <c r="O11" s="39"/>
      <c r="P11" s="39"/>
      <c r="Q11" s="123" t="s">
        <v>0</v>
      </c>
      <c r="R11" s="126" t="str">
        <f>IF(NOT(ISBLANK(HostBuild[Env Label])),IFERROR(VLOOKUP(HostBuild[Env Label],[1]!tEnv[#Data],3,FALSE),""),"")</f>
        <v/>
      </c>
      <c r="S11" s="104"/>
      <c r="T11" s="40"/>
      <c r="U11" s="105"/>
      <c r="V11" s="123" t="s">
        <v>75</v>
      </c>
      <c r="W11" s="123" t="s">
        <v>70</v>
      </c>
      <c r="X11" s="123" t="s">
        <v>57</v>
      </c>
      <c r="Y11" s="123" t="s">
        <v>58</v>
      </c>
      <c r="Z11" s="126" t="str">
        <f>IF(NOT(ISBLANK(HostBuild[[#This Row],[Product 
(Acronym)]])),CONCATENATE(HostBuild[[#This Row],[Type]],"-",HostBuild[[#This Row],[Product 
(Acronym)]]),"")</f>
        <v>AP-ESB</v>
      </c>
      <c r="AA11" s="106"/>
      <c r="AB11" s="106" t="s">
        <v>76</v>
      </c>
      <c r="AC11" s="41"/>
      <c r="AD11" s="42"/>
      <c r="AE11" s="42"/>
      <c r="AF11" s="43"/>
      <c r="AG11" s="124"/>
      <c r="AH11" s="107"/>
      <c r="AI11" s="124" t="s">
        <v>79</v>
      </c>
      <c r="AJ11" s="123">
        <f>IF(COUNTIF(HostBuild[Alias],HostBuild[Alias]),1/COUNTIF(HostBuild[Alias],HostBuild[Alias]),0)</f>
        <v>1</v>
      </c>
      <c r="AK11" s="124"/>
      <c r="AL11" s="124"/>
      <c r="AM11" s="44" t="s">
        <v>62</v>
      </c>
      <c r="AN11" s="45" t="str">
        <f>IF(NOT(ISBLANK(HostBuild[Server Model])),VLOOKUP(HostBuild[Server Model],[1]!ServerModelsTier[#Data],2,FALSE),"")</f>
        <v>x86 Tier 3</v>
      </c>
      <c r="AO11" s="45" t="str">
        <f>IF(NOT(ISBLANK(HostBuild[Server Model])),VLOOKUP(HostBuild[Server Model],[1]!ServerModelsTier[#Data],5,FALSE),"")</f>
        <v>x86</v>
      </c>
      <c r="AP11" s="44"/>
      <c r="AQ11" s="44" t="s">
        <v>63</v>
      </c>
      <c r="AR11" s="46">
        <v>2</v>
      </c>
      <c r="AS11" s="108"/>
      <c r="AT11" s="47">
        <v>16</v>
      </c>
      <c r="AU11" s="109" t="str">
        <f>IF(IFERROR(FIND("P-Series",HostBuild[Server Tier]),0),CEILING((HostBuild[Existing CPUs]+HostBuild[CPU])*16,8),"")</f>
        <v/>
      </c>
      <c r="AV11" s="48">
        <v>256</v>
      </c>
      <c r="AW11" s="124"/>
      <c r="AX11" s="124"/>
      <c r="AY11" s="124"/>
      <c r="AZ11" s="49"/>
      <c r="BA11" s="124"/>
      <c r="BB11" s="124"/>
      <c r="BC11" s="42"/>
      <c r="BD11" s="124"/>
      <c r="BE11" s="124"/>
      <c r="BF11" s="124"/>
      <c r="BG11" s="124"/>
      <c r="BH11" s="124"/>
      <c r="BI11" s="124"/>
      <c r="BJ11" s="124"/>
      <c r="BK11"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1" s="127"/>
      <c r="BM11" s="129">
        <f>IF(ISNUMBER(HostBuild[Recommended SAN (GB)]),HostBuild[Recommended SAN (GB)])+IF(HostBuild[Additional SAN (GB)]&gt;0,CEILING(HostBuild[Additional SAN (GB)],LUN),-(CEILING(-HostBuild[Additional SAN (GB)],LUN)))</f>
        <v>337</v>
      </c>
      <c r="BN11" s="128"/>
      <c r="BO11" s="129">
        <f>HostBuild[SAN (GB)
NEEDED TODAY]+CEILING(HostBuild[SAN (GB)
RESERVED
DO NOT USE TO BUILD], LUN)</f>
        <v>337</v>
      </c>
      <c r="BP11" s="130"/>
      <c r="BQ11" s="131"/>
      <c r="BR11" s="125" t="s">
        <v>64</v>
      </c>
      <c r="BS11" s="110">
        <f>IF(HostBuild[Existing Server?]&lt;&gt;"Yes - Inside this BoM",IF(ISNUMBER(HostBuild[RAM 
(GB)]),IF(HostBuild[Existing RAM (GB)]+HostBuild[RAM 
(GB)]&gt;0,IF(HostBuild[Virtual Platform Storage Type]="NAS",110+HostBuild[Existing RAM (GB)]+HostBuild[RAM 
(GB)]*1.75,0),0),0),0)</f>
        <v>0</v>
      </c>
      <c r="BT11" s="111"/>
      <c r="BU11" s="112">
        <f>IF(ISNUMBER(HostBuild[Recommended NAS (GB)]),HostBuild[Recommended NAS (GB)])+HostBuild[Additional NAS (GB)]</f>
        <v>0</v>
      </c>
      <c r="BV11" s="50"/>
      <c r="BW11" s="50"/>
      <c r="BX11" s="133">
        <f>IFERROR((HostBuild[SAN (GB)
End-State
DO NOT USE TO BUILD]+HostBuild[SAN (GB) Shared])*25%,"")</f>
        <v>84.25</v>
      </c>
      <c r="BY11" s="113">
        <f>IFERROR(HostBuild[Archive
Full (GB)]*15%,"")</f>
        <v>12.637499999999999</v>
      </c>
      <c r="BZ11" s="51"/>
      <c r="CA11" s="51"/>
      <c r="CB11" s="52"/>
      <c r="CC11" s="53"/>
      <c r="CD11" s="52"/>
      <c r="CE11" s="54"/>
      <c r="CF11" s="128"/>
      <c r="CG11" s="114"/>
      <c r="CH11" s="55"/>
      <c r="CI11" s="56"/>
      <c r="CJ11" s="57" t="s">
        <v>78</v>
      </c>
      <c r="CK11" s="58"/>
      <c r="CL11" s="59">
        <f>IFERROR(IF(FIND(CL$1,$W11)&gt;0,IF(INDEX([1]!Product_Pricing_Table[#Data],MATCH(CL$1,Products,0),2)="Cores",IF(HostBuild[Use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 s="59">
        <f>IFERROR(IF(FIND(CM$1,$W11)&gt;0,IF(INDEX([1]!Product_Pricing_Table[#Data],MATCH(CM$1,Products,0),2)="Cores",IF(HostBuild[Use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 s="59">
        <f>IFERROR(IF(FIND(CN$1,$W11)&gt;0,IF(INDEX([1]!Product_Pricing_Table[#Data],MATCH(CN$1,Products,0),2)="Cores",IF(HostBuild[Use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 s="59">
        <f>IFERROR(IF(FIND(CO$1,$W11)&gt;0,IF(INDEX([1]!Product_Pricing_Table[#Data],MATCH(CO$1,Products,0),2)="Cores",IF(HostBuild[Use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 s="59">
        <f>IFERROR(IF(FIND(CP$1,$W11)&gt;0,IF(INDEX([1]!Product_Pricing_Table[#Data],MATCH(CP$1,Products,0),2)="Cores",IF(HostBuild[Use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 s="59">
        <f>IFERROR(IF(FIND(CQ$1,$W11)&gt;0,IF(INDEX([1]!Product_Pricing_Table[#Data],MATCH(CQ$1,Products,0),2)="Cores",IF(HostBuild[Use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 s="59">
        <f>IFERROR(IF(FIND(CR$1,$W11)&gt;0,IF(INDEX([1]!Product_Pricing_Table[#Data],MATCH(CR$1,Products,0),2)="Cores",IF(HostBuild[Use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 s="59">
        <f>IFERROR(IF(FIND(CS$1,$W11)&gt;0,IF(INDEX([1]!Product_Pricing_Table[#Data],MATCH(CS$1,Products,0),2)="Cores",IF(HostBuild[Use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 s="59">
        <f>IFERROR(IF(FIND(CT$1,$W11)&gt;0,IF(INDEX([1]!Product_Pricing_Table[#Data],MATCH(CT$1,Products,0),2)="Cores",IF(HostBuild[Use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 s="59">
        <f>IFERROR(IF(FIND(CU$1,$W11)&gt;0,IF(INDEX([1]!Product_Pricing_Table[#Data],MATCH(CU$1,Products,0),2)="Cores",IF(HostBuild[Use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 s="59">
        <f>IFERROR(IF(FIND(CV$1,$W11)&gt;0,IF(INDEX([1]!Product_Pricing_Table[#Data],MATCH(CV$1,Products,0),2)="Cores",IF(HostBuild[Use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 s="59">
        <f>IFERROR(IF(FIND(CW$1,$W11)&gt;0,IF(INDEX([1]!Product_Pricing_Table[#Data],MATCH(CW$1,Products,0),2)="Cores",IF(HostBuild[Use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 s="59">
        <f>IFERROR(IF(FIND(CX$1,$W11)&gt;0,IF(INDEX([1]!Product_Pricing_Table[#Data],MATCH(CX$1,Products,0),2)="Cores",IF(HostBuild[Use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 s="59">
        <f>IFERROR(IF(FIND(CY$1,$W11)&gt;0,IF(INDEX([1]!Product_Pricing_Table[#Data],MATCH(CY$1,Products,0),2)="Cores",IF(HostBuild[Use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 s="59">
        <f>IFERROR(IF(FIND(CZ$1,$W11)&gt;0,IF(INDEX([1]!Product_Pricing_Table[#Data],MATCH(CZ$1,Products,0),2)="Cores",IF(HostBuild[Use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 s="59">
        <f>IFERROR(IF(FIND(DA$1,$W11)&gt;0,IF(INDEX([1]!Product_Pricing_Table[#Data],MATCH(DA$1,Products,0),2)="Cores",IF(HostBuild[Use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 s="59">
        <f>IFERROR(IF(FIND(DB$1,$W11)&gt;0,IF(INDEX([1]!Product_Pricing_Table[#Data],MATCH(DB$1,Products,0),2)="Cores",IF(HostBuild[Use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 s="59">
        <f>IFERROR(IF(FIND(DC$1,$W11)&gt;0,IF(INDEX([1]!Product_Pricing_Table[#Data],MATCH(DC$1,Products,0),2)="Cores",IF(HostBuild[Use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 s="59">
        <f>IFERROR(IF(FIND(DD$1,$W11)&gt;0,IF(INDEX([1]!Product_Pricing_Table[#Data],MATCH(DD$1,Products,0),2)="Cores",IF(HostBuild[Use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 s="59">
        <f>IFERROR(IF(FIND(DE$1,$W11)&gt;0,IF(INDEX([1]!Product_Pricing_Table[#Data],MATCH(DE$1,Products,0),2)="Cores",IF(HostBuild[Use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 s="60">
        <f>IFERROR(IF(FIND(DF$1,$W11)&gt;0,IF(INDEX([1]!Product_Pricing_Table[#Data],MATCH(DF$1,Products,0),2)="Cores",IF(HostBuild[Use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 s="60">
        <f>IFERROR(IF(FIND(DG$1,$W11)&gt;0,IF(INDEX([1]!Product_Pricing_Table[#Data],MATCH(DG$1,Products,0),2)="Cores",IF(HostBuild[Use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 s="59">
        <f>IFERROR(IF(FIND(DH$1,$W11)&gt;0,IF(INDEX([1]!Product_Pricing_Table[#Data],MATCH(DH$1,Products,0),2)="Cores",IF(HostBuild[Use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 s="60">
        <f>IFERROR(IF(FIND(DI$1,$W11)&gt;0,IF(INDEX([1]!Product_Pricing_Table[#Data],MATCH(DI$1,Products,0),2)="Cores",IF(HostBuild[Use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 s="59">
        <f>IFERROR(IF(FIND(DJ$1,$W11)&gt;0,IF(INDEX([1]!Product_Pricing_Table[#Data],MATCH(DJ$1,Products,0),2)="Cores",IF(HostBuild[Use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 s="59">
        <f>IFERROR(IF(FIND(DK$1,$W11)&gt;0,IF(INDEX([1]!Product_Pricing_Table[#Data],MATCH(DK$1,Products,0),2)="Cores",IF(HostBuild[Use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 s="59">
        <f>IFERROR(IF(FIND(DL$1,$W11)&gt;0,IF(INDEX([1]!Product_Pricing_Table[#Data],MATCH(DL$1,Products,0),2)="Cores",IF(HostBuild[Use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 s="59">
        <f>IFERROR(IF(FIND(DM$1,$W11)&gt;0,IF(INDEX([1]!Product_Pricing_Table[#Data],MATCH(DM$1,Products,0),2)="Cores",IF(HostBuild[Use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 s="59">
        <f>IFERROR(IF(FIND(DN$1,$W11)&gt;0,IF(INDEX([1]!Product_Pricing_Table[#Data],MATCH(DN$1,Products,0),2)="Cores",IF(HostBuild[Use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 s="59">
        <f>IFERROR(IF(FIND(DO$1,$W11)&gt;0,IF(INDEX([1]!Product_Pricing_Table[#Data],MATCH(DO$1,Products,0),2)="Cores",IF(HostBuild[Use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 s="59">
        <f>IFERROR(IF(FIND(DP$1,$W11)&gt;0,IF(INDEX([1]!Product_Pricing_Table[#Data],MATCH(DP$1,Products,0),2)="Cores",IF(HostBuild[Use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 s="59">
        <f>IFERROR(IF(FIND(DQ$1,$W11)&gt;0,IF(INDEX([1]!Product_Pricing_Table[#Data],MATCH(DQ$1,Products,0),2)="Cores",IF(HostBuild[Use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 s="59">
        <f>IFERROR(IF(FIND(DR$1,$W11)&gt;0,IF(INDEX([1]!Product_Pricing_Table[#Data],MATCH(DR$1,Products,0),2)="Cores",IF(HostBuild[Use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 s="59">
        <f>IFERROR(IF(FIND(DS$1,$W11)&gt;0,IF(INDEX([1]!Product_Pricing_Table[#Data],MATCH(DS$1,Products,0),2)="Cores",IF(HostBuild[Use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 s="59">
        <f>IFERROR(IF(FIND(DT$1,$W11)&gt;0,IF(INDEX([1]!Product_Pricing_Table[#Data],MATCH(DT$1,Products,0),2)="Cores",IF(HostBuild[Use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 s="59">
        <f>IFERROR(IF(FIND(DU$1,$W11)&gt;0,IF(INDEX([1]!Product_Pricing_Table[#Data],MATCH(DU$1,Products,0),2)="Cores",IF(HostBuild[Use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 s="59">
        <f>IFERROR(IF(FIND(DV$1,$W11)&gt;0,IF(INDEX([1]!Product_Pricing_Table[#Data],MATCH(DV$1,Products,0),2)="Cores",IF(HostBuild[Use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1" s="59">
        <f>IFERROR(IF(FIND(DW$1,$W11)&gt;0,IF(INDEX([1]!Product_Pricing_Table[#Data],MATCH(DW$1,Products,0),2)="Cores",IF(HostBuild[Use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 s="59">
        <f>IFERROR(IF(FIND(DX$1,$W11)&gt;0,IF(INDEX([1]!Product_Pricing_Table[#Data],MATCH(DX$1,Products,0),2)="Cores",IF(HostBuild[Use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 s="59">
        <f>IFERROR(IF(FIND(DY$1,$W11)&gt;0,IF(INDEX([1]!Product_Pricing_Table[#Data],MATCH(DY$1,Products,0),2)="Cores",IF(HostBuild[Use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 s="59">
        <f>IFERROR(IF(FIND(DZ$1,$W11)&gt;0,IF(INDEX([1]!Product_Pricing_Table[#Data],MATCH(DZ$1,Products,0),2)="Cores",IF(HostBuild[Use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 s="59">
        <f>IFERROR(IF(FIND(EA$1,$W11)&gt;0,IF(INDEX([1]!Product_Pricing_Table[#Data],MATCH(EA$1,Products,0),2)="Cores",IF(HostBuild[Use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 s="59">
        <f>IFERROR(IF(FIND(EB$1,$W11)&gt;0,IF(INDEX([1]!Product_Pricing_Table[#Data],MATCH(EB$1,Products,0),2)="Cores",IF(HostBuild[Use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 s="60">
        <f>IFERROR(IF(FIND(EC$1,$W11)&gt;0,IF(INDEX([1]!Product_Pricing_Table[#Data],MATCH(EC$1,Products,0),2)="Cores",IF(HostBuild[Use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 s="59">
        <f>IFERROR(IF(FIND(ED$1,$W11)&gt;0,IF(INDEX([1]!Product_Pricing_Table[#Data],MATCH(ED$1,Products,0),2)="Cores",IF(HostBuild[Use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 s="59">
        <f>IFERROR(IF(FIND(EE$1,$W11)&gt;0,IF(INDEX([1]!Product_Pricing_Table[#Data],MATCH(EE$1,Products,0),2)="Cores",IF(HostBuild[Use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 s="59">
        <f>IFERROR(IF(FIND(EF$1,$W11)&gt;0,IF(INDEX([1]!Product_Pricing_Table[#Data],MATCH(EF$1,Products,0),2)="Cores",IF(HostBuild[Use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 s="59">
        <f>IFERROR(IF(FIND(EG$1,$W11)&gt;0,IF(INDEX([1]!Product_Pricing_Table[#Data],MATCH(EG$1,Products,0),2)="Cores",IF(HostBuild[Use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 s="59">
        <f>IFERROR(IF(FIND(EH$1,$W11)&gt;0,IF(INDEX([1]!Product_Pricing_Table[#Data],MATCH(EH$1,Products,0),2)="Cores",IF(HostBuild[Use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 s="59">
        <f>IFERROR(IF(FIND(EI$1,$W11)&gt;0,IF(INDEX([1]!Product_Pricing_Table[#Data],MATCH(EI$1,Products,0),2)="Cores",IF(HostBuild[Use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 s="59">
        <f>IFERROR(IF(FIND(EJ$1,$W11)&gt;0,IF(INDEX([1]!Product_Pricing_Table[#Data],MATCH(EJ$1,Products,0),2)="Cores",IF(HostBuild[Use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 s="60">
        <f>IFERROR(IF(FIND(EK$1,$W11)&gt;0,IF(INDEX([1]!Product_Pricing_Table[#Data],MATCH(EK$1,Products,0),2)="Cores",IF(HostBuild[Use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 s="61"/>
      <c r="EM11" s="62"/>
      <c r="EN11" s="63"/>
      <c r="EO11"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1" s="132">
        <f>(HostBuild[Archive
Full (GB)]+HostBuild[Archive
Incr (GB)])*Storage_DC_Dist_Tape_2014</f>
        <v>33.910624999999996</v>
      </c>
      <c r="ER11" s="132">
        <f>IF(ISNUMBER(HostBuild[Server HW Costs
(Monthly)]),SUM(HostBuild[[#This Row],[Server HW Costs
(Monthly)]:[Tape Costs
(Monthly)]]),0)</f>
        <v>1398.400625</v>
      </c>
      <c r="ES11" s="65">
        <f>HostBuild[Software Costs
'[Year 1']
(Monthly)]+HostBuild[Total Hardware Costs
(Monthly)]</f>
        <v>1398.400625</v>
      </c>
      <c r="ET11" s="65">
        <f>IFERROR(IF(FIND("Safenet",HostBuild[Server Model]),Safenet_PSE_PL600_Maint,0),0)+IFERROR(IF(FIND("XI52",HostBuild[Server Model]),IBM_DIA_XI52_Maint,0),0)+HostBuild[Software Costs
'[After Year 1']
(Monthly)]+HostBuild[Total Hardware Costs
(Monthly)]</f>
        <v>1398.400625</v>
      </c>
      <c r="EU11" s="66">
        <f>SUM(HostBuild[[#This Row],[Server Cost Breakdown]:[Network Cost]])</f>
        <v>1003.9</v>
      </c>
      <c r="EV11" s="67">
        <f>IF(HostBuild[Existing Server?]="Yes - Inside this BoM",0,SUMIF(HostBuild[Alias],HostBuild[Alias],HostBuild[CPU])+SUMIF(HostBuild[Alias],HostBuild[Alias],HostBuild[Existing CPUs]))</f>
        <v>2</v>
      </c>
      <c r="EW11" s="67">
        <f>IF(HostBuild[Existing Server?]="Yes - Inside this BoM",0,SUMIF(HostBuild[Alias],HostBuild[Alias],HostBuild[Cores 
(Licensed Units)])+SUMIF(HostBuild[Alias],HostBuild[Alias],HostBuild[Existing Cores]))</f>
        <v>16</v>
      </c>
      <c r="EX11" s="67">
        <f>IF(HostBuild[Existing Server?]="Yes - Inside this BoM",0,SUMIF(HostBuild[Alias],HostBuild[Alias],HostBuild[RAM 
(GB)])+SUMIF(HostBuild[Alias],HostBuild[Alias],HostBuild[Existing RAM (GB)]))</f>
        <v>256</v>
      </c>
      <c r="EY1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 s="66">
        <f>IF(ISBLANK(HostBuild[Server Model]),0,IF(HostBuild[Server Tier]="VMware",0,VLOOKUP(HostBuild[Server Tier],[1]!ServerTierRates[#Data],2,0))*HostBuild[CPU]*IF(AND(HostBuild[Server Type]="pSeries",HostBuild[Virtual Platform Storage Type]="Cloud-SAN"),0.25,1))</f>
        <v>608</v>
      </c>
      <c r="FD11" s="66">
        <f>0</f>
        <v>0</v>
      </c>
      <c r="FE11" s="66">
        <f>IF(HostBuild[Server Type]="VMware",HostBuild[RAM 
(GB)]*IF(ISERROR(FIND("DevCloud", HostBuild[Server Model])&gt;0),vRAM_per_vCPU_2014_Monthly,vRAM_per_vCPU_2014_Daily*30),0)</f>
        <v>0</v>
      </c>
      <c r="FF1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 s="69">
        <f>IF(HostBuild[Server Tier]="VMware",0,IF(LEFT(HostBuild[Existing Server?],3)="Yes",0,IF(OR(HostBuild[Server Type]="Sun",HostBuild[Server Type]="pSeries"),Support_Direct_Server_Sun_per_OS_2014,IF(HostBuild[Server Type]="x86",Support_Direct_Server_x86_Wintel_per_OS_2014,0))))</f>
        <v>187.1</v>
      </c>
      <c r="FI1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c r="FU11" s="136"/>
      <c r="FV11" s="136"/>
    </row>
    <row r="12" spans="1:178" ht="15" hidden="1" customHeight="1">
      <c r="A12" s="122" t="s">
        <v>53</v>
      </c>
      <c r="B12" s="36"/>
      <c r="C12" s="36"/>
      <c r="D12" s="36"/>
      <c r="E12" s="37"/>
      <c r="F12" s="37"/>
      <c r="G12" s="103"/>
      <c r="H12" s="103"/>
      <c r="I12" s="38"/>
      <c r="J12" s="37"/>
      <c r="K12" s="37"/>
      <c r="L12" s="37"/>
      <c r="M12" s="103" t="e">
        <f ca="1">IF(rngIsDate(HostBuild[CTO Acceptance]),"Y","N")</f>
        <v>#NAME?</v>
      </c>
      <c r="N12" s="123" t="s">
        <v>4</v>
      </c>
      <c r="O12" s="39"/>
      <c r="P12" s="39"/>
      <c r="Q12" s="123" t="s">
        <v>0</v>
      </c>
      <c r="R12" s="126" t="str">
        <f>IF(NOT(ISBLANK(HostBuild[Env Label])),IFERROR(VLOOKUP(HostBuild[Env Label],[1]!tEnv[#Data],3,FALSE),""),"")</f>
        <v/>
      </c>
      <c r="S12" s="104"/>
      <c r="T12" s="40"/>
      <c r="U12" s="105"/>
      <c r="V12" s="123" t="s">
        <v>75</v>
      </c>
      <c r="W12" s="123" t="s">
        <v>70</v>
      </c>
      <c r="X12" s="123" t="s">
        <v>57</v>
      </c>
      <c r="Y12" s="123" t="s">
        <v>58</v>
      </c>
      <c r="Z12" s="126" t="str">
        <f>IF(NOT(ISBLANK(HostBuild[[#This Row],[Product 
(Acronym)]])),CONCATENATE(HostBuild[[#This Row],[Type]],"-",HostBuild[[#This Row],[Product 
(Acronym)]]),"")</f>
        <v>AP-ESB</v>
      </c>
      <c r="AA12" s="106"/>
      <c r="AB12" s="106" t="s">
        <v>76</v>
      </c>
      <c r="AC12" s="41"/>
      <c r="AD12" s="42"/>
      <c r="AE12" s="42"/>
      <c r="AF12" s="43"/>
      <c r="AG12" s="124"/>
      <c r="AH12" s="107"/>
      <c r="AI12" s="124" t="s">
        <v>80</v>
      </c>
      <c r="AJ12" s="123">
        <f>IF(COUNTIF(HostBuild[Alias],HostBuild[Alias]),1/COUNTIF(HostBuild[Alias],HostBuild[Alias]),0)</f>
        <v>1</v>
      </c>
      <c r="AK12" s="124"/>
      <c r="AL12" s="124"/>
      <c r="AM12" s="44" t="s">
        <v>62</v>
      </c>
      <c r="AN12" s="45" t="str">
        <f>IF(NOT(ISBLANK(HostBuild[Server Model])),VLOOKUP(HostBuild[Server Model],[1]!ServerModelsTier[#Data],2,FALSE),"")</f>
        <v>x86 Tier 3</v>
      </c>
      <c r="AO12" s="45" t="str">
        <f>IF(NOT(ISBLANK(HostBuild[Server Model])),VLOOKUP(HostBuild[Server Model],[1]!ServerModelsTier[#Data],5,FALSE),"")</f>
        <v>x86</v>
      </c>
      <c r="AP12" s="44"/>
      <c r="AQ12" s="44" t="s">
        <v>63</v>
      </c>
      <c r="AR12" s="46">
        <v>2</v>
      </c>
      <c r="AS12" s="108"/>
      <c r="AT12" s="47">
        <v>16</v>
      </c>
      <c r="AU12" s="109" t="str">
        <f>IF(IFERROR(FIND("P-Series",HostBuild[Server Tier]),0),CEILING((HostBuild[Existing CPUs]+HostBuild[CPU])*16,8),"")</f>
        <v/>
      </c>
      <c r="AV12" s="48">
        <v>256</v>
      </c>
      <c r="AW12" s="124"/>
      <c r="AX12" s="124"/>
      <c r="AY12" s="124"/>
      <c r="AZ12" s="49"/>
      <c r="BA12" s="124"/>
      <c r="BB12" s="124"/>
      <c r="BC12" s="42"/>
      <c r="BD12" s="124"/>
      <c r="BE12" s="124"/>
      <c r="BF12" s="124"/>
      <c r="BG12" s="124"/>
      <c r="BH12" s="124"/>
      <c r="BI12" s="124"/>
      <c r="BJ12" s="124"/>
      <c r="BK12"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2" s="127">
        <v>120</v>
      </c>
      <c r="BM12" s="129">
        <f>IF(ISNUMBER(HostBuild[Recommended SAN (GB)]),HostBuild[Recommended SAN (GB)])+IF(HostBuild[Additional SAN (GB)]&gt;0,CEILING(HostBuild[Additional SAN (GB)],LUN),-(CEILING(-HostBuild[Additional SAN (GB)],LUN)))</f>
        <v>471.8</v>
      </c>
      <c r="BN12" s="128"/>
      <c r="BO12" s="129">
        <f>HostBuild[SAN (GB)
NEEDED TODAY]+CEILING(HostBuild[SAN (GB)
RESERVED
DO NOT USE TO BUILD], LUN)</f>
        <v>471.8</v>
      </c>
      <c r="BP12" s="130">
        <v>120</v>
      </c>
      <c r="BQ12" s="131"/>
      <c r="BR12" s="125" t="s">
        <v>64</v>
      </c>
      <c r="BS12" s="110">
        <f>IF(HostBuild[Existing Server?]&lt;&gt;"Yes - Inside this BoM",IF(ISNUMBER(HostBuild[RAM 
(GB)]),IF(HostBuild[Existing RAM (GB)]+HostBuild[RAM 
(GB)]&gt;0,IF(HostBuild[Virtual Platform Storage Type]="NAS",110+HostBuild[Existing RAM (GB)]+HostBuild[RAM 
(GB)]*1.75,0),0),0),0)</f>
        <v>0</v>
      </c>
      <c r="BT12" s="111"/>
      <c r="BU12" s="112">
        <f>IF(ISNUMBER(HostBuild[Recommended NAS (GB)]),HostBuild[Recommended NAS (GB)])+HostBuild[Additional NAS (GB)]</f>
        <v>0</v>
      </c>
      <c r="BV12" s="50"/>
      <c r="BW12" s="50"/>
      <c r="BX12" s="133">
        <f>IFERROR((HostBuild[SAN (GB)
End-State
DO NOT USE TO BUILD]+HostBuild[SAN (GB) Shared])*25%,"")</f>
        <v>147.94999999999999</v>
      </c>
      <c r="BY12" s="113">
        <f>IFERROR(HostBuild[Archive
Full (GB)]*15%,"")</f>
        <v>22.192499999999999</v>
      </c>
      <c r="BZ12" s="51"/>
      <c r="CA12" s="51"/>
      <c r="CB12" s="52"/>
      <c r="CC12" s="53"/>
      <c r="CD12" s="52"/>
      <c r="CE12" s="54"/>
      <c r="CF12" s="128"/>
      <c r="CG12" s="114"/>
      <c r="CH12" s="55"/>
      <c r="CI12" s="56"/>
      <c r="CJ12" s="57" t="s">
        <v>78</v>
      </c>
      <c r="CK12" s="58"/>
      <c r="CL12" s="59">
        <f>IFERROR(IF(FIND(CL$1,$W12)&gt;0,IF(INDEX([1]!Product_Pricing_Table[#Data],MATCH(CL$1,Products,0),2)="Cores",IF(HostBuild[Use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 s="59">
        <f>IFERROR(IF(FIND(CM$1,$W12)&gt;0,IF(INDEX([1]!Product_Pricing_Table[#Data],MATCH(CM$1,Products,0),2)="Cores",IF(HostBuild[Use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 s="59">
        <f>IFERROR(IF(FIND(CN$1,$W12)&gt;0,IF(INDEX([1]!Product_Pricing_Table[#Data],MATCH(CN$1,Products,0),2)="Cores",IF(HostBuild[Use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 s="59">
        <f>IFERROR(IF(FIND(CO$1,$W12)&gt;0,IF(INDEX([1]!Product_Pricing_Table[#Data],MATCH(CO$1,Products,0),2)="Cores",IF(HostBuild[Use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 s="59">
        <f>IFERROR(IF(FIND(CP$1,$W12)&gt;0,IF(INDEX([1]!Product_Pricing_Table[#Data],MATCH(CP$1,Products,0),2)="Cores",IF(HostBuild[Use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 s="59">
        <f>IFERROR(IF(FIND(CQ$1,$W12)&gt;0,IF(INDEX([1]!Product_Pricing_Table[#Data],MATCH(CQ$1,Products,0),2)="Cores",IF(HostBuild[Use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 s="59">
        <f>IFERROR(IF(FIND(CR$1,$W12)&gt;0,IF(INDEX([1]!Product_Pricing_Table[#Data],MATCH(CR$1,Products,0),2)="Cores",IF(HostBuild[Use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 s="59">
        <f>IFERROR(IF(FIND(CS$1,$W12)&gt;0,IF(INDEX([1]!Product_Pricing_Table[#Data],MATCH(CS$1,Products,0),2)="Cores",IF(HostBuild[Use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 s="59">
        <f>IFERROR(IF(FIND(CT$1,$W12)&gt;0,IF(INDEX([1]!Product_Pricing_Table[#Data],MATCH(CT$1,Products,0),2)="Cores",IF(HostBuild[Use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 s="59">
        <f>IFERROR(IF(FIND(CU$1,$W12)&gt;0,IF(INDEX([1]!Product_Pricing_Table[#Data],MATCH(CU$1,Products,0),2)="Cores",IF(HostBuild[Use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 s="59">
        <f>IFERROR(IF(FIND(CV$1,$W12)&gt;0,IF(INDEX([1]!Product_Pricing_Table[#Data],MATCH(CV$1,Products,0),2)="Cores",IF(HostBuild[Use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 s="59">
        <f>IFERROR(IF(FIND(CW$1,$W12)&gt;0,IF(INDEX([1]!Product_Pricing_Table[#Data],MATCH(CW$1,Products,0),2)="Cores",IF(HostBuild[Use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 s="59">
        <f>IFERROR(IF(FIND(CX$1,$W12)&gt;0,IF(INDEX([1]!Product_Pricing_Table[#Data],MATCH(CX$1,Products,0),2)="Cores",IF(HostBuild[Use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 s="59">
        <f>IFERROR(IF(FIND(CY$1,$W12)&gt;0,IF(INDEX([1]!Product_Pricing_Table[#Data],MATCH(CY$1,Products,0),2)="Cores",IF(HostBuild[Use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 s="59">
        <f>IFERROR(IF(FIND(CZ$1,$W12)&gt;0,IF(INDEX([1]!Product_Pricing_Table[#Data],MATCH(CZ$1,Products,0),2)="Cores",IF(HostBuild[Use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 s="59">
        <f>IFERROR(IF(FIND(DA$1,$W12)&gt;0,IF(INDEX([1]!Product_Pricing_Table[#Data],MATCH(DA$1,Products,0),2)="Cores",IF(HostBuild[Use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 s="59">
        <f>IFERROR(IF(FIND(DB$1,$W12)&gt;0,IF(INDEX([1]!Product_Pricing_Table[#Data],MATCH(DB$1,Products,0),2)="Cores",IF(HostBuild[Use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 s="59">
        <f>IFERROR(IF(FIND(DC$1,$W12)&gt;0,IF(INDEX([1]!Product_Pricing_Table[#Data],MATCH(DC$1,Products,0),2)="Cores",IF(HostBuild[Use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 s="59">
        <f>IFERROR(IF(FIND(DD$1,$W12)&gt;0,IF(INDEX([1]!Product_Pricing_Table[#Data],MATCH(DD$1,Products,0),2)="Cores",IF(HostBuild[Use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 s="59">
        <f>IFERROR(IF(FIND(DE$1,$W12)&gt;0,IF(INDEX([1]!Product_Pricing_Table[#Data],MATCH(DE$1,Products,0),2)="Cores",IF(HostBuild[Use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 s="60">
        <f>IFERROR(IF(FIND(DF$1,$W12)&gt;0,IF(INDEX([1]!Product_Pricing_Table[#Data],MATCH(DF$1,Products,0),2)="Cores",IF(HostBuild[Use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 s="60">
        <f>IFERROR(IF(FIND(DG$1,$W12)&gt;0,IF(INDEX([1]!Product_Pricing_Table[#Data],MATCH(DG$1,Products,0),2)="Cores",IF(HostBuild[Use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 s="59">
        <f>IFERROR(IF(FIND(DH$1,$W12)&gt;0,IF(INDEX([1]!Product_Pricing_Table[#Data],MATCH(DH$1,Products,0),2)="Cores",IF(HostBuild[Use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 s="60">
        <f>IFERROR(IF(FIND(DI$1,$W12)&gt;0,IF(INDEX([1]!Product_Pricing_Table[#Data],MATCH(DI$1,Products,0),2)="Cores",IF(HostBuild[Use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 s="59">
        <f>IFERROR(IF(FIND(DJ$1,$W12)&gt;0,IF(INDEX([1]!Product_Pricing_Table[#Data],MATCH(DJ$1,Products,0),2)="Cores",IF(HostBuild[Use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 s="59">
        <f>IFERROR(IF(FIND(DK$1,$W12)&gt;0,IF(INDEX([1]!Product_Pricing_Table[#Data],MATCH(DK$1,Products,0),2)="Cores",IF(HostBuild[Use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 s="59">
        <f>IFERROR(IF(FIND(DL$1,$W12)&gt;0,IF(INDEX([1]!Product_Pricing_Table[#Data],MATCH(DL$1,Products,0),2)="Cores",IF(HostBuild[Use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 s="59">
        <f>IFERROR(IF(FIND(DM$1,$W12)&gt;0,IF(INDEX([1]!Product_Pricing_Table[#Data],MATCH(DM$1,Products,0),2)="Cores",IF(HostBuild[Use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 s="59">
        <f>IFERROR(IF(FIND(DN$1,$W12)&gt;0,IF(INDEX([1]!Product_Pricing_Table[#Data],MATCH(DN$1,Products,0),2)="Cores",IF(HostBuild[Use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 s="59">
        <f>IFERROR(IF(FIND(DO$1,$W12)&gt;0,IF(INDEX([1]!Product_Pricing_Table[#Data],MATCH(DO$1,Products,0),2)="Cores",IF(HostBuild[Use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 s="59">
        <f>IFERROR(IF(FIND(DP$1,$W12)&gt;0,IF(INDEX([1]!Product_Pricing_Table[#Data],MATCH(DP$1,Products,0),2)="Cores",IF(HostBuild[Use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 s="59">
        <f>IFERROR(IF(FIND(DQ$1,$W12)&gt;0,IF(INDEX([1]!Product_Pricing_Table[#Data],MATCH(DQ$1,Products,0),2)="Cores",IF(HostBuild[Use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 s="59">
        <f>IFERROR(IF(FIND(DR$1,$W12)&gt;0,IF(INDEX([1]!Product_Pricing_Table[#Data],MATCH(DR$1,Products,0),2)="Cores",IF(HostBuild[Use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 s="59">
        <f>IFERROR(IF(FIND(DS$1,$W12)&gt;0,IF(INDEX([1]!Product_Pricing_Table[#Data],MATCH(DS$1,Products,0),2)="Cores",IF(HostBuild[Use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 s="59">
        <f>IFERROR(IF(FIND(DT$1,$W12)&gt;0,IF(INDEX([1]!Product_Pricing_Table[#Data],MATCH(DT$1,Products,0),2)="Cores",IF(HostBuild[Use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 s="59">
        <f>IFERROR(IF(FIND(DU$1,$W12)&gt;0,IF(INDEX([1]!Product_Pricing_Table[#Data],MATCH(DU$1,Products,0),2)="Cores",IF(HostBuild[Use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 s="59">
        <f>IFERROR(IF(FIND(DV$1,$W12)&gt;0,IF(INDEX([1]!Product_Pricing_Table[#Data],MATCH(DV$1,Products,0),2)="Cores",IF(HostBuild[Use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 s="59">
        <f>IFERROR(IF(FIND(DW$1,$W12)&gt;0,IF(INDEX([1]!Product_Pricing_Table[#Data],MATCH(DW$1,Products,0),2)="Cores",IF(HostBuild[Use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 s="59">
        <f>IFERROR(IF(FIND(DX$1,$W12)&gt;0,IF(INDEX([1]!Product_Pricing_Table[#Data],MATCH(DX$1,Products,0),2)="Cores",IF(HostBuild[Use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 s="59">
        <f>IFERROR(IF(FIND(DY$1,$W12)&gt;0,IF(INDEX([1]!Product_Pricing_Table[#Data],MATCH(DY$1,Products,0),2)="Cores",IF(HostBuild[Use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 s="59">
        <f>IFERROR(IF(FIND(DZ$1,$W12)&gt;0,IF(INDEX([1]!Product_Pricing_Table[#Data],MATCH(DZ$1,Products,0),2)="Cores",IF(HostBuild[Use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 s="59">
        <f>IFERROR(IF(FIND(EA$1,$W12)&gt;0,IF(INDEX([1]!Product_Pricing_Table[#Data],MATCH(EA$1,Products,0),2)="Cores",IF(HostBuild[Use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 s="59">
        <f>IFERROR(IF(FIND(EB$1,$W12)&gt;0,IF(INDEX([1]!Product_Pricing_Table[#Data],MATCH(EB$1,Products,0),2)="Cores",IF(HostBuild[Use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 s="60">
        <f>IFERROR(IF(FIND(EC$1,$W12)&gt;0,IF(INDEX([1]!Product_Pricing_Table[#Data],MATCH(EC$1,Products,0),2)="Cores",IF(HostBuild[Use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 s="59">
        <f>IFERROR(IF(FIND(ED$1,$W12)&gt;0,IF(INDEX([1]!Product_Pricing_Table[#Data],MATCH(ED$1,Products,0),2)="Cores",IF(HostBuild[Use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 s="59">
        <f>IFERROR(IF(FIND(EE$1,$W12)&gt;0,IF(INDEX([1]!Product_Pricing_Table[#Data],MATCH(EE$1,Products,0),2)="Cores",IF(HostBuild[Use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 s="59">
        <f>IFERROR(IF(FIND(EF$1,$W12)&gt;0,IF(INDEX([1]!Product_Pricing_Table[#Data],MATCH(EF$1,Products,0),2)="Cores",IF(HostBuild[Use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 s="59">
        <f>IFERROR(IF(FIND(EG$1,$W12)&gt;0,IF(INDEX([1]!Product_Pricing_Table[#Data],MATCH(EG$1,Products,0),2)="Cores",IF(HostBuild[Use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 s="59">
        <f>IFERROR(IF(FIND(EH$1,$W12)&gt;0,IF(INDEX([1]!Product_Pricing_Table[#Data],MATCH(EH$1,Products,0),2)="Cores",IF(HostBuild[Use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 s="59">
        <f>IFERROR(IF(FIND(EI$1,$W12)&gt;0,IF(INDEX([1]!Product_Pricing_Table[#Data],MATCH(EI$1,Products,0),2)="Cores",IF(HostBuild[Use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 s="59">
        <f>IFERROR(IF(FIND(EJ$1,$W12)&gt;0,IF(INDEX([1]!Product_Pricing_Table[#Data],MATCH(EJ$1,Products,0),2)="Cores",IF(HostBuild[Use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 s="60">
        <f>IFERROR(IF(FIND(EK$1,$W12)&gt;0,IF(INDEX([1]!Product_Pricing_Table[#Data],MATCH(EK$1,Products,0),2)="Cores",IF(HostBuild[Use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 s="61"/>
      <c r="EM12" s="62"/>
      <c r="EN12" s="63"/>
      <c r="EO12"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723.202</v>
      </c>
      <c r="EQ12" s="132">
        <f>(HostBuild[Archive
Full (GB)]+HostBuild[Archive
Incr (GB)])*Storage_DC_Dist_Tape_2014</f>
        <v>59.549874999999993</v>
      </c>
      <c r="ER12" s="132">
        <f>IF(ISNUMBER(HostBuild[Server HW Costs
(Monthly)]),SUM(HostBuild[[#This Row],[Server HW Costs
(Monthly)]:[Tape Costs
(Monthly)]]),0)</f>
        <v>1786.6518749999998</v>
      </c>
      <c r="ES12" s="65">
        <f>HostBuild[Software Costs
'[Year 1']
(Monthly)]+HostBuild[Total Hardware Costs
(Monthly)]</f>
        <v>1786.6518749999998</v>
      </c>
      <c r="ET12" s="65">
        <f>IFERROR(IF(FIND("Safenet",HostBuild[Server Model]),Safenet_PSE_PL600_Maint,0),0)+IFERROR(IF(FIND("XI52",HostBuild[Server Model]),IBM_DIA_XI52_Maint,0),0)+HostBuild[Software Costs
'[After Year 1']
(Monthly)]+HostBuild[Total Hardware Costs
(Monthly)]</f>
        <v>1786.6518749999998</v>
      </c>
      <c r="EU12" s="66">
        <f>SUM(HostBuild[[#This Row],[Server Cost Breakdown]:[Network Cost]])</f>
        <v>1003.9</v>
      </c>
      <c r="EV12" s="67">
        <f>IF(HostBuild[Existing Server?]="Yes - Inside this BoM",0,SUMIF(HostBuild[Alias],HostBuild[Alias],HostBuild[CPU])+SUMIF(HostBuild[Alias],HostBuild[Alias],HostBuild[Existing CPUs]))</f>
        <v>2</v>
      </c>
      <c r="EW12" s="67">
        <f>IF(HostBuild[Existing Server?]="Yes - Inside this BoM",0,SUMIF(HostBuild[Alias],HostBuild[Alias],HostBuild[Cores 
(Licensed Units)])+SUMIF(HostBuild[Alias],HostBuild[Alias],HostBuild[Existing Cores]))</f>
        <v>16</v>
      </c>
      <c r="EX12" s="67">
        <f>IF(HostBuild[Existing Server?]="Yes - Inside this BoM",0,SUMIF(HostBuild[Alias],HostBuild[Alias],HostBuild[RAM 
(GB)])+SUMIF(HostBuild[Alias],HostBuild[Alias],HostBuild[Existing RAM (GB)]))</f>
        <v>256</v>
      </c>
      <c r="EY1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 s="66">
        <f>IF(ISBLANK(HostBuild[Server Model]),0,IF(HostBuild[Server Tier]="VMware",0,VLOOKUP(HostBuild[Server Tier],[1]!ServerTierRates[#Data],2,0))*HostBuild[CPU]*IF(AND(HostBuild[Server Type]="pSeries",HostBuild[Virtual Platform Storage Type]="Cloud-SAN"),0.25,1))</f>
        <v>608</v>
      </c>
      <c r="FD12" s="66">
        <f>0</f>
        <v>0</v>
      </c>
      <c r="FE12" s="66">
        <f>IF(HostBuild[Server Type]="VMware",HostBuild[RAM 
(GB)]*IF(ISERROR(FIND("DevCloud", HostBuild[Server Model])&gt;0),vRAM_per_vCPU_2014_Monthly,vRAM_per_vCPU_2014_Daily*30),0)</f>
        <v>0</v>
      </c>
      <c r="FF1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 s="69">
        <f>IF(HostBuild[Server Tier]="VMware",0,IF(LEFT(HostBuild[Existing Server?],3)="Yes",0,IF(OR(HostBuild[Server Type]="Sun",HostBuild[Server Type]="pSeries"),Support_Direct_Server_Sun_per_OS_2014,IF(HostBuild[Server Type]="x86",Support_Direct_Server_x86_Wintel_per_OS_2014,0))))</f>
        <v>187.1</v>
      </c>
      <c r="FI1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 spans="1:178" ht="15" hidden="1" customHeight="1">
      <c r="A13" s="122" t="s">
        <v>53</v>
      </c>
      <c r="B13" s="36"/>
      <c r="C13" s="36"/>
      <c r="D13" s="36"/>
      <c r="E13" s="37"/>
      <c r="F13" s="37"/>
      <c r="G13" s="103"/>
      <c r="H13" s="103"/>
      <c r="I13" s="38"/>
      <c r="J13" s="37"/>
      <c r="K13" s="37"/>
      <c r="L13" s="37"/>
      <c r="M13" s="103" t="e">
        <f ca="1">IF(rngIsDate(HostBuild[CTO Acceptance]),"Y","N")</f>
        <v>#NAME?</v>
      </c>
      <c r="N13" s="123" t="s">
        <v>4</v>
      </c>
      <c r="O13" s="39"/>
      <c r="P13" s="39"/>
      <c r="Q13" s="123" t="s">
        <v>0</v>
      </c>
      <c r="R13" s="126" t="str">
        <f>IF(NOT(ISBLANK(HostBuild[Env Label])),IFERROR(VLOOKUP(HostBuild[Env Label],[1]!tEnv[#Data],3,FALSE),""),"")</f>
        <v/>
      </c>
      <c r="S13" s="104"/>
      <c r="T13" s="40"/>
      <c r="U13" s="105"/>
      <c r="V13" s="123" t="s">
        <v>75</v>
      </c>
      <c r="W13" s="123" t="s">
        <v>70</v>
      </c>
      <c r="X13" s="123" t="s">
        <v>57</v>
      </c>
      <c r="Y13" s="123" t="s">
        <v>58</v>
      </c>
      <c r="Z13" s="126" t="str">
        <f>IF(NOT(ISBLANK(HostBuild[[#This Row],[Product 
(Acronym)]])),CONCATENATE(HostBuild[[#This Row],[Type]],"-",HostBuild[[#This Row],[Product 
(Acronym)]]),"")</f>
        <v>AP-ESB</v>
      </c>
      <c r="AA13" s="106"/>
      <c r="AB13" s="106" t="s">
        <v>76</v>
      </c>
      <c r="AC13" s="41"/>
      <c r="AD13" s="42"/>
      <c r="AE13" s="42"/>
      <c r="AF13" s="43"/>
      <c r="AG13" s="124"/>
      <c r="AH13" s="107"/>
      <c r="AI13" s="124" t="s">
        <v>81</v>
      </c>
      <c r="AJ13" s="123">
        <f>IF(COUNTIF(HostBuild[Alias],HostBuild[Alias]),1/COUNTIF(HostBuild[Alias],HostBuild[Alias]),0)</f>
        <v>1</v>
      </c>
      <c r="AK13" s="124"/>
      <c r="AL13" s="124"/>
      <c r="AM13" s="44" t="s">
        <v>62</v>
      </c>
      <c r="AN13" s="45" t="str">
        <f>IF(NOT(ISBLANK(HostBuild[Server Model])),VLOOKUP(HostBuild[Server Model],[1]!ServerModelsTier[#Data],2,FALSE),"")</f>
        <v>x86 Tier 3</v>
      </c>
      <c r="AO13" s="45" t="str">
        <f>IF(NOT(ISBLANK(HostBuild[Server Model])),VLOOKUP(HostBuild[Server Model],[1]!ServerModelsTier[#Data],5,FALSE),"")</f>
        <v>x86</v>
      </c>
      <c r="AP13" s="44"/>
      <c r="AQ13" s="44" t="s">
        <v>63</v>
      </c>
      <c r="AR13" s="46">
        <v>2</v>
      </c>
      <c r="AS13" s="108"/>
      <c r="AT13" s="47">
        <v>16</v>
      </c>
      <c r="AU13" s="109" t="str">
        <f>IF(IFERROR(FIND("P-Series",HostBuild[Server Tier]),0),CEILING((HostBuild[Existing CPUs]+HostBuild[CPU])*16,8),"")</f>
        <v/>
      </c>
      <c r="AV13" s="48">
        <v>256</v>
      </c>
      <c r="AW13" s="124"/>
      <c r="AX13" s="124"/>
      <c r="AY13" s="124"/>
      <c r="AZ13" s="49"/>
      <c r="BA13" s="124"/>
      <c r="BB13" s="124"/>
      <c r="BC13" s="42"/>
      <c r="BD13" s="124"/>
      <c r="BE13" s="124"/>
      <c r="BF13" s="124"/>
      <c r="BG13" s="124"/>
      <c r="BH13" s="124"/>
      <c r="BI13" s="124"/>
      <c r="BJ13" s="124"/>
      <c r="BK13"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3" s="127"/>
      <c r="BM13" s="129">
        <f>IF(ISNUMBER(HostBuild[Recommended SAN (GB)]),HostBuild[Recommended SAN (GB)])+IF(HostBuild[Additional SAN (GB)]&gt;0,CEILING(HostBuild[Additional SAN (GB)],LUN),-(CEILING(-HostBuild[Additional SAN (GB)],LUN)))</f>
        <v>337</v>
      </c>
      <c r="BN13" s="128"/>
      <c r="BO13" s="129">
        <f>HostBuild[SAN (GB)
NEEDED TODAY]+CEILING(HostBuild[SAN (GB)
RESERVED
DO NOT USE TO BUILD], LUN)</f>
        <v>337</v>
      </c>
      <c r="BP13" s="130"/>
      <c r="BQ13" s="131"/>
      <c r="BR13" s="125" t="s">
        <v>64</v>
      </c>
      <c r="BS13" s="110">
        <f>IF(HostBuild[Existing Server?]&lt;&gt;"Yes - Inside this BoM",IF(ISNUMBER(HostBuild[RAM 
(GB)]),IF(HostBuild[Existing RAM (GB)]+HostBuild[RAM 
(GB)]&gt;0,IF(HostBuild[Virtual Platform Storage Type]="NAS",110+HostBuild[Existing RAM (GB)]+HostBuild[RAM 
(GB)]*1.75,0),0),0),0)</f>
        <v>0</v>
      </c>
      <c r="BT13" s="111"/>
      <c r="BU13" s="112">
        <f>IF(ISNUMBER(HostBuild[Recommended NAS (GB)]),HostBuild[Recommended NAS (GB)])+HostBuild[Additional NAS (GB)]</f>
        <v>0</v>
      </c>
      <c r="BV13" s="50"/>
      <c r="BW13" s="50"/>
      <c r="BX13" s="133">
        <f>IFERROR((HostBuild[SAN (GB)
End-State
DO NOT USE TO BUILD]+HostBuild[SAN (GB) Shared])*25%,"")</f>
        <v>84.25</v>
      </c>
      <c r="BY13" s="113">
        <f>IFERROR(HostBuild[Archive
Full (GB)]*15%,"")</f>
        <v>12.637499999999999</v>
      </c>
      <c r="BZ13" s="51"/>
      <c r="CA13" s="51"/>
      <c r="CB13" s="52"/>
      <c r="CC13" s="53"/>
      <c r="CD13" s="52"/>
      <c r="CE13" s="54"/>
      <c r="CF13" s="128"/>
      <c r="CG13" s="114"/>
      <c r="CH13" s="55"/>
      <c r="CI13" s="56"/>
      <c r="CJ13" s="57" t="s">
        <v>78</v>
      </c>
      <c r="CK13" s="58"/>
      <c r="CL13" s="59">
        <f>IFERROR(IF(FIND(CL$1,$W13)&gt;0,IF(INDEX([1]!Product_Pricing_Table[#Data],MATCH(CL$1,Products,0),2)="Cores",IF(HostBuild[Use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 s="59">
        <f>IFERROR(IF(FIND(CM$1,$W13)&gt;0,IF(INDEX([1]!Product_Pricing_Table[#Data],MATCH(CM$1,Products,0),2)="Cores",IF(HostBuild[Use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 s="59">
        <f>IFERROR(IF(FIND(CN$1,$W13)&gt;0,IF(INDEX([1]!Product_Pricing_Table[#Data],MATCH(CN$1,Products,0),2)="Cores",IF(HostBuild[Use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 s="59">
        <f>IFERROR(IF(FIND(CO$1,$W13)&gt;0,IF(INDEX([1]!Product_Pricing_Table[#Data],MATCH(CO$1,Products,0),2)="Cores",IF(HostBuild[Use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 s="59">
        <f>IFERROR(IF(FIND(CP$1,$W13)&gt;0,IF(INDEX([1]!Product_Pricing_Table[#Data],MATCH(CP$1,Products,0),2)="Cores",IF(HostBuild[Use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 s="59">
        <f>IFERROR(IF(FIND(CQ$1,$W13)&gt;0,IF(INDEX([1]!Product_Pricing_Table[#Data],MATCH(CQ$1,Products,0),2)="Cores",IF(HostBuild[Use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 s="59">
        <f>IFERROR(IF(FIND(CR$1,$W13)&gt;0,IF(INDEX([1]!Product_Pricing_Table[#Data],MATCH(CR$1,Products,0),2)="Cores",IF(HostBuild[Use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 s="59">
        <f>IFERROR(IF(FIND(CS$1,$W13)&gt;0,IF(INDEX([1]!Product_Pricing_Table[#Data],MATCH(CS$1,Products,0),2)="Cores",IF(HostBuild[Use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 s="59">
        <f>IFERROR(IF(FIND(CT$1,$W13)&gt;0,IF(INDEX([1]!Product_Pricing_Table[#Data],MATCH(CT$1,Products,0),2)="Cores",IF(HostBuild[Use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 s="59">
        <f>IFERROR(IF(FIND(CU$1,$W13)&gt;0,IF(INDEX([1]!Product_Pricing_Table[#Data],MATCH(CU$1,Products,0),2)="Cores",IF(HostBuild[Use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 s="59">
        <f>IFERROR(IF(FIND(CV$1,$W13)&gt;0,IF(INDEX([1]!Product_Pricing_Table[#Data],MATCH(CV$1,Products,0),2)="Cores",IF(HostBuild[Use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 s="59">
        <f>IFERROR(IF(FIND(CW$1,$W13)&gt;0,IF(INDEX([1]!Product_Pricing_Table[#Data],MATCH(CW$1,Products,0),2)="Cores",IF(HostBuild[Use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 s="59">
        <f>IFERROR(IF(FIND(CX$1,$W13)&gt;0,IF(INDEX([1]!Product_Pricing_Table[#Data],MATCH(CX$1,Products,0),2)="Cores",IF(HostBuild[Use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 s="59">
        <f>IFERROR(IF(FIND(CY$1,$W13)&gt;0,IF(INDEX([1]!Product_Pricing_Table[#Data],MATCH(CY$1,Products,0),2)="Cores",IF(HostBuild[Use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 s="59">
        <f>IFERROR(IF(FIND(CZ$1,$W13)&gt;0,IF(INDEX([1]!Product_Pricing_Table[#Data],MATCH(CZ$1,Products,0),2)="Cores",IF(HostBuild[Use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 s="59">
        <f>IFERROR(IF(FIND(DA$1,$W13)&gt;0,IF(INDEX([1]!Product_Pricing_Table[#Data],MATCH(DA$1,Products,0),2)="Cores",IF(HostBuild[Use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 s="59">
        <f>IFERROR(IF(FIND(DB$1,$W13)&gt;0,IF(INDEX([1]!Product_Pricing_Table[#Data],MATCH(DB$1,Products,0),2)="Cores",IF(HostBuild[Use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 s="59">
        <f>IFERROR(IF(FIND(DC$1,$W13)&gt;0,IF(INDEX([1]!Product_Pricing_Table[#Data],MATCH(DC$1,Products,0),2)="Cores",IF(HostBuild[Use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 s="59">
        <f>IFERROR(IF(FIND(DD$1,$W13)&gt;0,IF(INDEX([1]!Product_Pricing_Table[#Data],MATCH(DD$1,Products,0),2)="Cores",IF(HostBuild[Use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 s="59">
        <f>IFERROR(IF(FIND(DE$1,$W13)&gt;0,IF(INDEX([1]!Product_Pricing_Table[#Data],MATCH(DE$1,Products,0),2)="Cores",IF(HostBuild[Use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 s="60">
        <f>IFERROR(IF(FIND(DF$1,$W13)&gt;0,IF(INDEX([1]!Product_Pricing_Table[#Data],MATCH(DF$1,Products,0),2)="Cores",IF(HostBuild[Use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 s="60">
        <f>IFERROR(IF(FIND(DG$1,$W13)&gt;0,IF(INDEX([1]!Product_Pricing_Table[#Data],MATCH(DG$1,Products,0),2)="Cores",IF(HostBuild[Use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 s="59">
        <f>IFERROR(IF(FIND(DH$1,$W13)&gt;0,IF(INDEX([1]!Product_Pricing_Table[#Data],MATCH(DH$1,Products,0),2)="Cores",IF(HostBuild[Use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 s="60">
        <f>IFERROR(IF(FIND(DI$1,$W13)&gt;0,IF(INDEX([1]!Product_Pricing_Table[#Data],MATCH(DI$1,Products,0),2)="Cores",IF(HostBuild[Use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 s="59">
        <f>IFERROR(IF(FIND(DJ$1,$W13)&gt;0,IF(INDEX([1]!Product_Pricing_Table[#Data],MATCH(DJ$1,Products,0),2)="Cores",IF(HostBuild[Use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 s="59">
        <f>IFERROR(IF(FIND(DK$1,$W13)&gt;0,IF(INDEX([1]!Product_Pricing_Table[#Data],MATCH(DK$1,Products,0),2)="Cores",IF(HostBuild[Use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 s="59">
        <f>IFERROR(IF(FIND(DL$1,$W13)&gt;0,IF(INDEX([1]!Product_Pricing_Table[#Data],MATCH(DL$1,Products,0),2)="Cores",IF(HostBuild[Use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 s="59">
        <f>IFERROR(IF(FIND(DM$1,$W13)&gt;0,IF(INDEX([1]!Product_Pricing_Table[#Data],MATCH(DM$1,Products,0),2)="Cores",IF(HostBuild[Use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 s="59">
        <f>IFERROR(IF(FIND(DN$1,$W13)&gt;0,IF(INDEX([1]!Product_Pricing_Table[#Data],MATCH(DN$1,Products,0),2)="Cores",IF(HostBuild[Use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 s="59">
        <f>IFERROR(IF(FIND(DO$1,$W13)&gt;0,IF(INDEX([1]!Product_Pricing_Table[#Data],MATCH(DO$1,Products,0),2)="Cores",IF(HostBuild[Use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 s="59">
        <f>IFERROR(IF(FIND(DP$1,$W13)&gt;0,IF(INDEX([1]!Product_Pricing_Table[#Data],MATCH(DP$1,Products,0),2)="Cores",IF(HostBuild[Use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 s="59">
        <f>IFERROR(IF(FIND(DQ$1,$W13)&gt;0,IF(INDEX([1]!Product_Pricing_Table[#Data],MATCH(DQ$1,Products,0),2)="Cores",IF(HostBuild[Use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 s="59">
        <f>IFERROR(IF(FIND(DR$1,$W13)&gt;0,IF(INDEX([1]!Product_Pricing_Table[#Data],MATCH(DR$1,Products,0),2)="Cores",IF(HostBuild[Use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 s="59">
        <f>IFERROR(IF(FIND(DS$1,$W13)&gt;0,IF(INDEX([1]!Product_Pricing_Table[#Data],MATCH(DS$1,Products,0),2)="Cores",IF(HostBuild[Use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 s="59">
        <f>IFERROR(IF(FIND(DT$1,$W13)&gt;0,IF(INDEX([1]!Product_Pricing_Table[#Data],MATCH(DT$1,Products,0),2)="Cores",IF(HostBuild[Use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 s="59">
        <f>IFERROR(IF(FIND(DU$1,$W13)&gt;0,IF(INDEX([1]!Product_Pricing_Table[#Data],MATCH(DU$1,Products,0),2)="Cores",IF(HostBuild[Use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 s="59">
        <f>IFERROR(IF(FIND(DV$1,$W13)&gt;0,IF(INDEX([1]!Product_Pricing_Table[#Data],MATCH(DV$1,Products,0),2)="Cores",IF(HostBuild[Use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3" s="59">
        <f>IFERROR(IF(FIND(DW$1,$W13)&gt;0,IF(INDEX([1]!Product_Pricing_Table[#Data],MATCH(DW$1,Products,0),2)="Cores",IF(HostBuild[Use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 s="59">
        <f>IFERROR(IF(FIND(DX$1,$W13)&gt;0,IF(INDEX([1]!Product_Pricing_Table[#Data],MATCH(DX$1,Products,0),2)="Cores",IF(HostBuild[Use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 s="59">
        <f>IFERROR(IF(FIND(DY$1,$W13)&gt;0,IF(INDEX([1]!Product_Pricing_Table[#Data],MATCH(DY$1,Products,0),2)="Cores",IF(HostBuild[Use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 s="59">
        <f>IFERROR(IF(FIND(DZ$1,$W13)&gt;0,IF(INDEX([1]!Product_Pricing_Table[#Data],MATCH(DZ$1,Products,0),2)="Cores",IF(HostBuild[Use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 s="59">
        <f>IFERROR(IF(FIND(EA$1,$W13)&gt;0,IF(INDEX([1]!Product_Pricing_Table[#Data],MATCH(EA$1,Products,0),2)="Cores",IF(HostBuild[Use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 s="59">
        <f>IFERROR(IF(FIND(EB$1,$W13)&gt;0,IF(INDEX([1]!Product_Pricing_Table[#Data],MATCH(EB$1,Products,0),2)="Cores",IF(HostBuild[Use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 s="60">
        <f>IFERROR(IF(FIND(EC$1,$W13)&gt;0,IF(INDEX([1]!Product_Pricing_Table[#Data],MATCH(EC$1,Products,0),2)="Cores",IF(HostBuild[Use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 s="59">
        <f>IFERROR(IF(FIND(ED$1,$W13)&gt;0,IF(INDEX([1]!Product_Pricing_Table[#Data],MATCH(ED$1,Products,0),2)="Cores",IF(HostBuild[Use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 s="59">
        <f>IFERROR(IF(FIND(EE$1,$W13)&gt;0,IF(INDEX([1]!Product_Pricing_Table[#Data],MATCH(EE$1,Products,0),2)="Cores",IF(HostBuild[Use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 s="59">
        <f>IFERROR(IF(FIND(EF$1,$W13)&gt;0,IF(INDEX([1]!Product_Pricing_Table[#Data],MATCH(EF$1,Products,0),2)="Cores",IF(HostBuild[Use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 s="59">
        <f>IFERROR(IF(FIND(EG$1,$W13)&gt;0,IF(INDEX([1]!Product_Pricing_Table[#Data],MATCH(EG$1,Products,0),2)="Cores",IF(HostBuild[Use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 s="59">
        <f>IFERROR(IF(FIND(EH$1,$W13)&gt;0,IF(INDEX([1]!Product_Pricing_Table[#Data],MATCH(EH$1,Products,0),2)="Cores",IF(HostBuild[Use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 s="59">
        <f>IFERROR(IF(FIND(EI$1,$W13)&gt;0,IF(INDEX([1]!Product_Pricing_Table[#Data],MATCH(EI$1,Products,0),2)="Cores",IF(HostBuild[Use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 s="59">
        <f>IFERROR(IF(FIND(EJ$1,$W13)&gt;0,IF(INDEX([1]!Product_Pricing_Table[#Data],MATCH(EJ$1,Products,0),2)="Cores",IF(HostBuild[Use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 s="60">
        <f>IFERROR(IF(FIND(EK$1,$W13)&gt;0,IF(INDEX([1]!Product_Pricing_Table[#Data],MATCH(EK$1,Products,0),2)="Cores",IF(HostBuild[Use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 s="61"/>
      <c r="EM13" s="62"/>
      <c r="EN13" s="63"/>
      <c r="EO13"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3" s="132">
        <f>(HostBuild[Archive
Full (GB)]+HostBuild[Archive
Incr (GB)])*Storage_DC_Dist_Tape_2014</f>
        <v>33.910624999999996</v>
      </c>
      <c r="ER13" s="132">
        <f>IF(ISNUMBER(HostBuild[Server HW Costs
(Monthly)]),SUM(HostBuild[[#This Row],[Server HW Costs
(Monthly)]:[Tape Costs
(Monthly)]]),0)</f>
        <v>1398.400625</v>
      </c>
      <c r="ES13" s="65">
        <f>HostBuild[Software Costs
'[Year 1']
(Monthly)]+HostBuild[Total Hardware Costs
(Monthly)]</f>
        <v>1398.400625</v>
      </c>
      <c r="ET13" s="65">
        <f>IFERROR(IF(FIND("Safenet",HostBuild[Server Model]),Safenet_PSE_PL600_Maint,0),0)+IFERROR(IF(FIND("XI52",HostBuild[Server Model]),IBM_DIA_XI52_Maint,0),0)+HostBuild[Software Costs
'[After Year 1']
(Monthly)]+HostBuild[Total Hardware Costs
(Monthly)]</f>
        <v>1398.400625</v>
      </c>
      <c r="EU13" s="66">
        <f>SUM(HostBuild[[#This Row],[Server Cost Breakdown]:[Network Cost]])</f>
        <v>1003.9</v>
      </c>
      <c r="EV13" s="67">
        <f>IF(HostBuild[Existing Server?]="Yes - Inside this BoM",0,SUMIF(HostBuild[Alias],HostBuild[Alias],HostBuild[CPU])+SUMIF(HostBuild[Alias],HostBuild[Alias],HostBuild[Existing CPUs]))</f>
        <v>2</v>
      </c>
      <c r="EW13" s="67">
        <f>IF(HostBuild[Existing Server?]="Yes - Inside this BoM",0,SUMIF(HostBuild[Alias],HostBuild[Alias],HostBuild[Cores 
(Licensed Units)])+SUMIF(HostBuild[Alias],HostBuild[Alias],HostBuild[Existing Cores]))</f>
        <v>16</v>
      </c>
      <c r="EX13" s="67">
        <f>IF(HostBuild[Existing Server?]="Yes - Inside this BoM",0,SUMIF(HostBuild[Alias],HostBuild[Alias],HostBuild[RAM 
(GB)])+SUMIF(HostBuild[Alias],HostBuild[Alias],HostBuild[Existing RAM (GB)]))</f>
        <v>256</v>
      </c>
      <c r="EY1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 s="66">
        <f>IF(ISBLANK(HostBuild[Server Model]),0,IF(HostBuild[Server Tier]="VMware",0,VLOOKUP(HostBuild[Server Tier],[1]!ServerTierRates[#Data],2,0))*HostBuild[CPU]*IF(AND(HostBuild[Server Type]="pSeries",HostBuild[Virtual Platform Storage Type]="Cloud-SAN"),0.25,1))</f>
        <v>608</v>
      </c>
      <c r="FD13" s="66">
        <f>0</f>
        <v>0</v>
      </c>
      <c r="FE13" s="66">
        <f>IF(HostBuild[Server Type]="VMware",HostBuild[RAM 
(GB)]*IF(ISERROR(FIND("DevCloud", HostBuild[Server Model])&gt;0),vRAM_per_vCPU_2014_Monthly,vRAM_per_vCPU_2014_Daily*30),0)</f>
        <v>0</v>
      </c>
      <c r="FF1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 s="69">
        <f>IF(HostBuild[Server Tier]="VMware",0,IF(LEFT(HostBuild[Existing Server?],3)="Yes",0,IF(OR(HostBuild[Server Type]="Sun",HostBuild[Server Type]="pSeries"),Support_Direct_Server_Sun_per_OS_2014,IF(HostBuild[Server Type]="x86",Support_Direct_Server_x86_Wintel_per_OS_2014,0))))</f>
        <v>187.1</v>
      </c>
      <c r="FI1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 spans="1:178" ht="15" hidden="1" customHeight="1">
      <c r="A14" s="122" t="s">
        <v>53</v>
      </c>
      <c r="B14" s="36"/>
      <c r="C14" s="36"/>
      <c r="D14" s="36"/>
      <c r="E14" s="37"/>
      <c r="F14" s="37"/>
      <c r="G14" s="103"/>
      <c r="H14" s="103"/>
      <c r="I14" s="38"/>
      <c r="J14" s="37"/>
      <c r="K14" s="37"/>
      <c r="L14" s="37"/>
      <c r="M14" s="103" t="e">
        <f ca="1">IF(rngIsDate(HostBuild[CTO Acceptance]),"Y","N")</f>
        <v>#NAME?</v>
      </c>
      <c r="N14" s="123" t="s">
        <v>4</v>
      </c>
      <c r="O14" s="39"/>
      <c r="P14" s="39"/>
      <c r="Q14" s="123" t="s">
        <v>0</v>
      </c>
      <c r="R14" s="126" t="str">
        <f>IF(NOT(ISBLANK(HostBuild[Env Label])),IFERROR(VLOOKUP(HostBuild[Env Label],[1]!tEnv[#Data],3,FALSE),""),"")</f>
        <v/>
      </c>
      <c r="S14" s="104"/>
      <c r="T14" s="40"/>
      <c r="U14" s="105"/>
      <c r="V14" s="123" t="s">
        <v>82</v>
      </c>
      <c r="W14" s="123" t="s">
        <v>83</v>
      </c>
      <c r="X14" s="123" t="s">
        <v>57</v>
      </c>
      <c r="Y14" s="123" t="s">
        <v>58</v>
      </c>
      <c r="Z14" s="126" t="str">
        <f>IF(NOT(ISBLANK(HostBuild[[#This Row],[Product 
(Acronym)]])),CONCATENATE(HostBuild[[#This Row],[Type]],"-",HostBuild[[#This Row],[Product 
(Acronym)]]),"")</f>
        <v>AP-ESB</v>
      </c>
      <c r="AA14" s="106"/>
      <c r="AB14" s="106" t="s">
        <v>76</v>
      </c>
      <c r="AC14" s="41"/>
      <c r="AD14" s="42"/>
      <c r="AE14" s="42"/>
      <c r="AF14" s="43"/>
      <c r="AG14" s="124"/>
      <c r="AH14" s="107"/>
      <c r="AI14" s="124" t="s">
        <v>84</v>
      </c>
      <c r="AJ14" s="123">
        <f>IF(COUNTIF(HostBuild[Alias],HostBuild[Alias]),1/COUNTIF(HostBuild[Alias],HostBuild[Alias]),0)</f>
        <v>1</v>
      </c>
      <c r="AK14" s="124"/>
      <c r="AL14" s="124"/>
      <c r="AM14" s="44" t="s">
        <v>62</v>
      </c>
      <c r="AN14" s="45" t="str">
        <f>IF(NOT(ISBLANK(HostBuild[Server Model])),VLOOKUP(HostBuild[Server Model],[1]!ServerModelsTier[#Data],2,FALSE),"")</f>
        <v>x86 Tier 3</v>
      </c>
      <c r="AO14" s="45" t="str">
        <f>IF(NOT(ISBLANK(HostBuild[Server Model])),VLOOKUP(HostBuild[Server Model],[1]!ServerModelsTier[#Data],5,FALSE),"")</f>
        <v>x86</v>
      </c>
      <c r="AP14" s="44"/>
      <c r="AQ14" s="44" t="s">
        <v>63</v>
      </c>
      <c r="AR14" s="46">
        <v>2</v>
      </c>
      <c r="AS14" s="108"/>
      <c r="AT14" s="47">
        <v>16</v>
      </c>
      <c r="AU14" s="109" t="str">
        <f>IF(IFERROR(FIND("P-Series",HostBuild[Server Tier]),0),CEILING((HostBuild[Existing CPUs]+HostBuild[CPU])*16,8),"")</f>
        <v/>
      </c>
      <c r="AV14" s="48">
        <v>256</v>
      </c>
      <c r="AW14" s="124"/>
      <c r="AX14" s="124"/>
      <c r="AY14" s="124"/>
      <c r="AZ14" s="49"/>
      <c r="BA14" s="124"/>
      <c r="BB14" s="124"/>
      <c r="BC14" s="42"/>
      <c r="BD14" s="124"/>
      <c r="BE14" s="124"/>
      <c r="BF14" s="124"/>
      <c r="BG14" s="124"/>
      <c r="BH14" s="124"/>
      <c r="BI14" s="124"/>
      <c r="BJ14" s="124"/>
      <c r="BK14"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4" s="127"/>
      <c r="BM14" s="129">
        <f>IF(ISNUMBER(HostBuild[Recommended SAN (GB)]),HostBuild[Recommended SAN (GB)])+IF(HostBuild[Additional SAN (GB)]&gt;0,CEILING(HostBuild[Additional SAN (GB)],LUN),-(CEILING(-HostBuild[Additional SAN (GB)],LUN)))</f>
        <v>337</v>
      </c>
      <c r="BN14" s="128"/>
      <c r="BO14" s="129">
        <f>HostBuild[SAN (GB)
NEEDED TODAY]+CEILING(HostBuild[SAN (GB)
RESERVED
DO NOT USE TO BUILD], LUN)</f>
        <v>337</v>
      </c>
      <c r="BP14" s="130"/>
      <c r="BQ14" s="131"/>
      <c r="BR14" s="125" t="s">
        <v>64</v>
      </c>
      <c r="BS14" s="110">
        <f>IF(HostBuild[Existing Server?]&lt;&gt;"Yes - Inside this BoM",IF(ISNUMBER(HostBuild[RAM 
(GB)]),IF(HostBuild[Existing RAM (GB)]+HostBuild[RAM 
(GB)]&gt;0,IF(HostBuild[Virtual Platform Storage Type]="NAS",110+HostBuild[Existing RAM (GB)]+HostBuild[RAM 
(GB)]*1.75,0),0),0),0)</f>
        <v>0</v>
      </c>
      <c r="BT14" s="111"/>
      <c r="BU14" s="112">
        <f>IF(ISNUMBER(HostBuild[Recommended NAS (GB)]),HostBuild[Recommended NAS (GB)])+HostBuild[Additional NAS (GB)]</f>
        <v>0</v>
      </c>
      <c r="BV14" s="50"/>
      <c r="BW14" s="50"/>
      <c r="BX14" s="133">
        <f>IFERROR((HostBuild[SAN (GB)
End-State
DO NOT USE TO BUILD]+HostBuild[SAN (GB) Shared])*25%,"")</f>
        <v>84.25</v>
      </c>
      <c r="BY14" s="113">
        <f>IFERROR(HostBuild[Archive
Full (GB)]*15%,"")</f>
        <v>12.637499999999999</v>
      </c>
      <c r="BZ14" s="51"/>
      <c r="CA14" s="51"/>
      <c r="CB14" s="52"/>
      <c r="CC14" s="53"/>
      <c r="CD14" s="52"/>
      <c r="CE14" s="54"/>
      <c r="CF14" s="128"/>
      <c r="CG14" s="114"/>
      <c r="CH14" s="55"/>
      <c r="CI14" s="56"/>
      <c r="CJ14" s="57" t="s">
        <v>85</v>
      </c>
      <c r="CK14" s="58"/>
      <c r="CL14" s="59">
        <f>IFERROR(IF(FIND(CL$1,$W14)&gt;0,IF(INDEX([1]!Product_Pricing_Table[#Data],MATCH(CL$1,Products,0),2)="Cores",IF(HostBuild[Use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 s="59">
        <f>IFERROR(IF(FIND(CM$1,$W14)&gt;0,IF(INDEX([1]!Product_Pricing_Table[#Data],MATCH(CM$1,Products,0),2)="Cores",IF(HostBuild[Use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 s="59">
        <f>IFERROR(IF(FIND(CN$1,$W14)&gt;0,IF(INDEX([1]!Product_Pricing_Table[#Data],MATCH(CN$1,Products,0),2)="Cores",IF(HostBuild[Use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 s="59">
        <f>IFERROR(IF(FIND(CO$1,$W14)&gt;0,IF(INDEX([1]!Product_Pricing_Table[#Data],MATCH(CO$1,Products,0),2)="Cores",IF(HostBuild[Use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 s="59">
        <f>IFERROR(IF(FIND(CP$1,$W14)&gt;0,IF(INDEX([1]!Product_Pricing_Table[#Data],MATCH(CP$1,Products,0),2)="Cores",IF(HostBuild[Use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 s="59">
        <f>IFERROR(IF(FIND(CQ$1,$W14)&gt;0,IF(INDEX([1]!Product_Pricing_Table[#Data],MATCH(CQ$1,Products,0),2)="Cores",IF(HostBuild[Use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 s="59">
        <f>IFERROR(IF(FIND(CR$1,$W14)&gt;0,IF(INDEX([1]!Product_Pricing_Table[#Data],MATCH(CR$1,Products,0),2)="Cores",IF(HostBuild[Use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 s="59">
        <f>IFERROR(IF(FIND(CS$1,$W14)&gt;0,IF(INDEX([1]!Product_Pricing_Table[#Data],MATCH(CS$1,Products,0),2)="Cores",IF(HostBuild[Use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 s="59">
        <f>IFERROR(IF(FIND(CT$1,$W14)&gt;0,IF(INDEX([1]!Product_Pricing_Table[#Data],MATCH(CT$1,Products,0),2)="Cores",IF(HostBuild[Use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 s="59">
        <f>IFERROR(IF(FIND(CU$1,$W14)&gt;0,IF(INDEX([1]!Product_Pricing_Table[#Data],MATCH(CU$1,Products,0),2)="Cores",IF(HostBuild[Use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 s="59">
        <f>IFERROR(IF(FIND(CV$1,$W14)&gt;0,IF(INDEX([1]!Product_Pricing_Table[#Data],MATCH(CV$1,Products,0),2)="Cores",IF(HostBuild[Use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 s="59">
        <f>IFERROR(IF(FIND(CW$1,$W14)&gt;0,IF(INDEX([1]!Product_Pricing_Table[#Data],MATCH(CW$1,Products,0),2)="Cores",IF(HostBuild[Use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 s="59">
        <f>IFERROR(IF(FIND(CX$1,$W14)&gt;0,IF(INDEX([1]!Product_Pricing_Table[#Data],MATCH(CX$1,Products,0),2)="Cores",IF(HostBuild[Use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 s="59">
        <f>IFERROR(IF(FIND(CY$1,$W14)&gt;0,IF(INDEX([1]!Product_Pricing_Table[#Data],MATCH(CY$1,Products,0),2)="Cores",IF(HostBuild[Use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 s="59">
        <f>IFERROR(IF(FIND(CZ$1,$W14)&gt;0,IF(INDEX([1]!Product_Pricing_Table[#Data],MATCH(CZ$1,Products,0),2)="Cores",IF(HostBuild[Use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 s="59">
        <f>IFERROR(IF(FIND(DA$1,$W14)&gt;0,IF(INDEX([1]!Product_Pricing_Table[#Data],MATCH(DA$1,Products,0),2)="Cores",IF(HostBuild[Use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 s="59">
        <f>IFERROR(IF(FIND(DB$1,$W14)&gt;0,IF(INDEX([1]!Product_Pricing_Table[#Data],MATCH(DB$1,Products,0),2)="Cores",IF(HostBuild[Use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 s="59">
        <f>IFERROR(IF(FIND(DC$1,$W14)&gt;0,IF(INDEX([1]!Product_Pricing_Table[#Data],MATCH(DC$1,Products,0),2)="Cores",IF(HostBuild[Use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 s="59">
        <f>IFERROR(IF(FIND(DD$1,$W14)&gt;0,IF(INDEX([1]!Product_Pricing_Table[#Data],MATCH(DD$1,Products,0),2)="Cores",IF(HostBuild[Use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 s="59">
        <f>IFERROR(IF(FIND(DE$1,$W14)&gt;0,IF(INDEX([1]!Product_Pricing_Table[#Data],MATCH(DE$1,Products,0),2)="Cores",IF(HostBuild[Use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 s="60">
        <f>IFERROR(IF(FIND(DF$1,$W14)&gt;0,IF(INDEX([1]!Product_Pricing_Table[#Data],MATCH(DF$1,Products,0),2)="Cores",IF(HostBuild[Use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 s="60">
        <f>IFERROR(IF(FIND(DG$1,$W14)&gt;0,IF(INDEX([1]!Product_Pricing_Table[#Data],MATCH(DG$1,Products,0),2)="Cores",IF(HostBuild[Use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 s="59">
        <f>IFERROR(IF(FIND(DH$1,$W14)&gt;0,IF(INDEX([1]!Product_Pricing_Table[#Data],MATCH(DH$1,Products,0),2)="Cores",IF(HostBuild[Use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 s="60">
        <f>IFERROR(IF(FIND(DI$1,$W14)&gt;0,IF(INDEX([1]!Product_Pricing_Table[#Data],MATCH(DI$1,Products,0),2)="Cores",IF(HostBuild[Use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 s="59">
        <f>IFERROR(IF(FIND(DJ$1,$W14)&gt;0,IF(INDEX([1]!Product_Pricing_Table[#Data],MATCH(DJ$1,Products,0),2)="Cores",IF(HostBuild[Use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 s="59">
        <f>IFERROR(IF(FIND(DK$1,$W14)&gt;0,IF(INDEX([1]!Product_Pricing_Table[#Data],MATCH(DK$1,Products,0),2)="Cores",IF(HostBuild[Use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 s="59">
        <f>IFERROR(IF(FIND(DL$1,$W14)&gt;0,IF(INDEX([1]!Product_Pricing_Table[#Data],MATCH(DL$1,Products,0),2)="Cores",IF(HostBuild[Use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 s="59">
        <f>IFERROR(IF(FIND(DM$1,$W14)&gt;0,IF(INDEX([1]!Product_Pricing_Table[#Data],MATCH(DM$1,Products,0),2)="Cores",IF(HostBuild[Use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 s="59">
        <f>IFERROR(IF(FIND(DN$1,$W14)&gt;0,IF(INDEX([1]!Product_Pricing_Table[#Data],MATCH(DN$1,Products,0),2)="Cores",IF(HostBuild[Use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 s="59">
        <f>IFERROR(IF(FIND(DO$1,$W14)&gt;0,IF(INDEX([1]!Product_Pricing_Table[#Data],MATCH(DO$1,Products,0),2)="Cores",IF(HostBuild[Use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 s="59">
        <f>IFERROR(IF(FIND(DP$1,$W14)&gt;0,IF(INDEX([1]!Product_Pricing_Table[#Data],MATCH(DP$1,Products,0),2)="Cores",IF(HostBuild[Use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 s="59">
        <f>IFERROR(IF(FIND(DQ$1,$W14)&gt;0,IF(INDEX([1]!Product_Pricing_Table[#Data],MATCH(DQ$1,Products,0),2)="Cores",IF(HostBuild[Use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 s="59">
        <f>IFERROR(IF(FIND(DR$1,$W14)&gt;0,IF(INDEX([1]!Product_Pricing_Table[#Data],MATCH(DR$1,Products,0),2)="Cores",IF(HostBuild[Use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 s="59">
        <f>IFERROR(IF(FIND(DS$1,$W14)&gt;0,IF(INDEX([1]!Product_Pricing_Table[#Data],MATCH(DS$1,Products,0),2)="Cores",IF(HostBuild[Use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 s="59">
        <f>IFERROR(IF(FIND(DT$1,$W14)&gt;0,IF(INDEX([1]!Product_Pricing_Table[#Data],MATCH(DT$1,Products,0),2)="Cores",IF(HostBuild[Use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 s="59">
        <f>IFERROR(IF(FIND(DU$1,$W14)&gt;0,IF(INDEX([1]!Product_Pricing_Table[#Data],MATCH(DU$1,Products,0),2)="Cores",IF(HostBuild[Use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 s="59">
        <f>IFERROR(IF(FIND(DV$1,$W14)&gt;0,IF(INDEX([1]!Product_Pricing_Table[#Data],MATCH(DV$1,Products,0),2)="Cores",IF(HostBuild[Use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 s="59">
        <f>IFERROR(IF(FIND(DW$1,$W14)&gt;0,IF(INDEX([1]!Product_Pricing_Table[#Data],MATCH(DW$1,Products,0),2)="Cores",IF(HostBuild[Use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 s="59">
        <f>IFERROR(IF(FIND(DX$1,$W14)&gt;0,IF(INDEX([1]!Product_Pricing_Table[#Data],MATCH(DX$1,Products,0),2)="Cores",IF(HostBuild[Use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 s="59">
        <f>IFERROR(IF(FIND(DY$1,$W14)&gt;0,IF(INDEX([1]!Product_Pricing_Table[#Data],MATCH(DY$1,Products,0),2)="Cores",IF(HostBuild[Use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 s="59">
        <f>IFERROR(IF(FIND(DZ$1,$W14)&gt;0,IF(INDEX([1]!Product_Pricing_Table[#Data],MATCH(DZ$1,Products,0),2)="Cores",IF(HostBuild[Use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 s="59">
        <f>IFERROR(IF(FIND(EA$1,$W14)&gt;0,IF(INDEX([1]!Product_Pricing_Table[#Data],MATCH(EA$1,Products,0),2)="Cores",IF(HostBuild[Use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 s="59">
        <f>IFERROR(IF(FIND(EB$1,$W14)&gt;0,IF(INDEX([1]!Product_Pricing_Table[#Data],MATCH(EB$1,Products,0),2)="Cores",IF(HostBuild[Use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 s="60">
        <f>IFERROR(IF(FIND(EC$1,$W14)&gt;0,IF(INDEX([1]!Product_Pricing_Table[#Data],MATCH(EC$1,Products,0),2)="Cores",IF(HostBuild[Use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 s="59">
        <f>IFERROR(IF(FIND(ED$1,$W14)&gt;0,IF(INDEX([1]!Product_Pricing_Table[#Data],MATCH(ED$1,Products,0),2)="Cores",IF(HostBuild[Use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 s="59">
        <f>IFERROR(IF(FIND(EE$1,$W14)&gt;0,IF(INDEX([1]!Product_Pricing_Table[#Data],MATCH(EE$1,Products,0),2)="Cores",IF(HostBuild[Use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 s="59">
        <f>IFERROR(IF(FIND(EF$1,$W14)&gt;0,IF(INDEX([1]!Product_Pricing_Table[#Data],MATCH(EF$1,Products,0),2)="Cores",IF(HostBuild[Use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 s="59">
        <f>IFERROR(IF(FIND(EG$1,$W14)&gt;0,IF(INDEX([1]!Product_Pricing_Table[#Data],MATCH(EG$1,Products,0),2)="Cores",IF(HostBuild[Use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 s="59">
        <f>IFERROR(IF(FIND(EH$1,$W14)&gt;0,IF(INDEX([1]!Product_Pricing_Table[#Data],MATCH(EH$1,Products,0),2)="Cores",IF(HostBuild[Use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 s="59">
        <f>IFERROR(IF(FIND(EI$1,$W14)&gt;0,IF(INDEX([1]!Product_Pricing_Table[#Data],MATCH(EI$1,Products,0),2)="Cores",IF(HostBuild[Use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 s="59">
        <f>IFERROR(IF(FIND(EJ$1,$W14)&gt;0,IF(INDEX([1]!Product_Pricing_Table[#Data],MATCH(EJ$1,Products,0),2)="Cores",IF(HostBuild[Use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 s="60">
        <f>IFERROR(IF(FIND(EK$1,$W14)&gt;0,IF(INDEX([1]!Product_Pricing_Table[#Data],MATCH(EK$1,Products,0),2)="Cores",IF(HostBuild[Use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 s="61"/>
      <c r="EM14" s="62">
        <v>3750</v>
      </c>
      <c r="EN14" s="63">
        <v>525</v>
      </c>
      <c r="EO14"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4" s="132">
        <f>(HostBuild[Archive
Full (GB)]+HostBuild[Archive
Incr (GB)])*Storage_DC_Dist_Tape_2014</f>
        <v>33.910624999999996</v>
      </c>
      <c r="ER14" s="132">
        <f>IF(ISNUMBER(HostBuild[Server HW Costs
(Monthly)]),SUM(HostBuild[[#This Row],[Server HW Costs
(Monthly)]:[Tape Costs
(Monthly)]]),0)</f>
        <v>1398.400625</v>
      </c>
      <c r="ES14" s="65">
        <f>HostBuild[Software Costs
'[Year 1']
(Monthly)]+HostBuild[Total Hardware Costs
(Monthly)]</f>
        <v>5148.4006250000002</v>
      </c>
      <c r="ET14" s="65">
        <f>IFERROR(IF(FIND("Safenet",HostBuild[Server Model]),Safenet_PSE_PL600_Maint,0),0)+IFERROR(IF(FIND("XI52",HostBuild[Server Model]),IBM_DIA_XI52_Maint,0),0)+HostBuild[Software Costs
'[After Year 1']
(Monthly)]+HostBuild[Total Hardware Costs
(Monthly)]</f>
        <v>1923.400625</v>
      </c>
      <c r="EU14" s="66">
        <f>SUM(HostBuild[[#This Row],[Server Cost Breakdown]:[Network Cost]])</f>
        <v>1003.9</v>
      </c>
      <c r="EV14" s="67">
        <f>IF(HostBuild[Existing Server?]="Yes - Inside this BoM",0,SUMIF(HostBuild[Alias],HostBuild[Alias],HostBuild[CPU])+SUMIF(HostBuild[Alias],HostBuild[Alias],HostBuild[Existing CPUs]))</f>
        <v>2</v>
      </c>
      <c r="EW14" s="67">
        <f>IF(HostBuild[Existing Server?]="Yes - Inside this BoM",0,SUMIF(HostBuild[Alias],HostBuild[Alias],HostBuild[Cores 
(Licensed Units)])+SUMIF(HostBuild[Alias],HostBuild[Alias],HostBuild[Existing Cores]))</f>
        <v>16</v>
      </c>
      <c r="EX14" s="67">
        <f>IF(HostBuild[Existing Server?]="Yes - Inside this BoM",0,SUMIF(HostBuild[Alias],HostBuild[Alias],HostBuild[RAM 
(GB)])+SUMIF(HostBuild[Alias],HostBuild[Alias],HostBuild[Existing RAM (GB)]))</f>
        <v>256</v>
      </c>
      <c r="EY1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 s="66">
        <f>IF(ISBLANK(HostBuild[Server Model]),0,IF(HostBuild[Server Tier]="VMware",0,VLOOKUP(HostBuild[Server Tier],[1]!ServerTierRates[#Data],2,0))*HostBuild[CPU]*IF(AND(HostBuild[Server Type]="pSeries",HostBuild[Virtual Platform Storage Type]="Cloud-SAN"),0.25,1))</f>
        <v>608</v>
      </c>
      <c r="FD14" s="66">
        <f>0</f>
        <v>0</v>
      </c>
      <c r="FE14" s="66">
        <f>IF(HostBuild[Server Type]="VMware",HostBuild[RAM 
(GB)]*IF(ISERROR(FIND("DevCloud", HostBuild[Server Model])&gt;0),vRAM_per_vCPU_2014_Monthly,vRAM_per_vCPU_2014_Daily*30),0)</f>
        <v>0</v>
      </c>
      <c r="FF1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 s="69">
        <f>IF(HostBuild[Server Tier]="VMware",0,IF(LEFT(HostBuild[Existing Server?],3)="Yes",0,IF(OR(HostBuild[Server Type]="Sun",HostBuild[Server Type]="pSeries"),Support_Direct_Server_Sun_per_OS_2014,IF(HostBuild[Server Type]="x86",Support_Direct_Server_x86_Wintel_per_OS_2014,0))))</f>
        <v>187.1</v>
      </c>
      <c r="FI1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 spans="1:178" ht="14.25" hidden="1" customHeight="1">
      <c r="A15" s="122" t="s">
        <v>53</v>
      </c>
      <c r="B15" s="36"/>
      <c r="C15" s="36"/>
      <c r="D15" s="36"/>
      <c r="E15" s="37"/>
      <c r="F15" s="37"/>
      <c r="G15" s="103"/>
      <c r="H15" s="103"/>
      <c r="I15" s="38"/>
      <c r="J15" s="37"/>
      <c r="K15" s="37"/>
      <c r="L15" s="37"/>
      <c r="M15" s="103" t="e">
        <f ca="1">IF(rngIsDate(HostBuild[CTO Acceptance]),"Y","N")</f>
        <v>#NAME?</v>
      </c>
      <c r="N15" s="123" t="s">
        <v>4</v>
      </c>
      <c r="O15" s="39"/>
      <c r="P15" s="39"/>
      <c r="Q15" s="123" t="s">
        <v>0</v>
      </c>
      <c r="R15" s="126" t="str">
        <f>IF(NOT(ISBLANK(HostBuild[Env Label])),IFERROR(VLOOKUP(HostBuild[Env Label],[1]!tEnv[#Data],3,FALSE),""),"")</f>
        <v/>
      </c>
      <c r="S15" s="104"/>
      <c r="T15" s="40"/>
      <c r="U15" s="105"/>
      <c r="V15" s="123" t="s">
        <v>82</v>
      </c>
      <c r="W15" s="123" t="s">
        <v>83</v>
      </c>
      <c r="X15" s="123" t="s">
        <v>57</v>
      </c>
      <c r="Y15" s="123" t="s">
        <v>58</v>
      </c>
      <c r="Z15" s="126" t="str">
        <f>IF(NOT(ISBLANK(HostBuild[[#This Row],[Product 
(Acronym)]])),CONCATENATE(HostBuild[[#This Row],[Type]],"-",HostBuild[[#This Row],[Product 
(Acronym)]]),"")</f>
        <v>AP-ESB</v>
      </c>
      <c r="AA15" s="106"/>
      <c r="AB15" s="106" t="s">
        <v>76</v>
      </c>
      <c r="AC15" s="41"/>
      <c r="AD15" s="42"/>
      <c r="AE15" s="42"/>
      <c r="AF15" s="43"/>
      <c r="AG15" s="124"/>
      <c r="AH15" s="107"/>
      <c r="AI15" s="124" t="s">
        <v>86</v>
      </c>
      <c r="AJ15" s="123">
        <f>IF(COUNTIF(HostBuild[Alias],HostBuild[Alias]),1/COUNTIF(HostBuild[Alias],HostBuild[Alias]),0)</f>
        <v>1</v>
      </c>
      <c r="AK15" s="124"/>
      <c r="AL15" s="124"/>
      <c r="AM15" s="44" t="s">
        <v>62</v>
      </c>
      <c r="AN15" s="45" t="str">
        <f>IF(NOT(ISBLANK(HostBuild[Server Model])),VLOOKUP(HostBuild[Server Model],[1]!ServerModelsTier[#Data],2,FALSE),"")</f>
        <v>x86 Tier 3</v>
      </c>
      <c r="AO15" s="45" t="str">
        <f>IF(NOT(ISBLANK(HostBuild[Server Model])),VLOOKUP(HostBuild[Server Model],[1]!ServerModelsTier[#Data],5,FALSE),"")</f>
        <v>x86</v>
      </c>
      <c r="AP15" s="44"/>
      <c r="AQ15" s="44" t="s">
        <v>63</v>
      </c>
      <c r="AR15" s="46">
        <v>2</v>
      </c>
      <c r="AS15" s="108"/>
      <c r="AT15" s="47">
        <v>16</v>
      </c>
      <c r="AU15" s="109" t="str">
        <f>IF(IFERROR(FIND("P-Series",HostBuild[Server Tier]),0),CEILING((HostBuild[Existing CPUs]+HostBuild[CPU])*16,8),"")</f>
        <v/>
      </c>
      <c r="AV15" s="48">
        <v>256</v>
      </c>
      <c r="AW15" s="124"/>
      <c r="AX15" s="124"/>
      <c r="AY15" s="124"/>
      <c r="AZ15" s="49"/>
      <c r="BA15" s="124"/>
      <c r="BB15" s="124"/>
      <c r="BC15" s="42"/>
      <c r="BD15" s="124"/>
      <c r="BE15" s="124"/>
      <c r="BF15" s="124"/>
      <c r="BG15" s="124"/>
      <c r="BH15" s="124"/>
      <c r="BI15" s="124"/>
      <c r="BJ15" s="124"/>
      <c r="BK15"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5" s="127"/>
      <c r="BM15" s="129">
        <f>IF(ISNUMBER(HostBuild[Recommended SAN (GB)]),HostBuild[Recommended SAN (GB)])+IF(HostBuild[Additional SAN (GB)]&gt;0,CEILING(HostBuild[Additional SAN (GB)],LUN),-(CEILING(-HostBuild[Additional SAN (GB)],LUN)))</f>
        <v>337</v>
      </c>
      <c r="BN15" s="128"/>
      <c r="BO15" s="129">
        <f>HostBuild[SAN (GB)
NEEDED TODAY]+CEILING(HostBuild[SAN (GB)
RESERVED
DO NOT USE TO BUILD], LUN)</f>
        <v>337</v>
      </c>
      <c r="BP15" s="130"/>
      <c r="BQ15" s="131"/>
      <c r="BR15" s="125" t="s">
        <v>64</v>
      </c>
      <c r="BS15" s="110">
        <f>IF(HostBuild[Existing Server?]&lt;&gt;"Yes - Inside this BoM",IF(ISNUMBER(HostBuild[RAM 
(GB)]),IF(HostBuild[Existing RAM (GB)]+HostBuild[RAM 
(GB)]&gt;0,IF(HostBuild[Virtual Platform Storage Type]="NAS",110+HostBuild[Existing RAM (GB)]+HostBuild[RAM 
(GB)]*1.75,0),0),0),0)</f>
        <v>0</v>
      </c>
      <c r="BT15" s="111"/>
      <c r="BU15" s="112">
        <f>IF(ISNUMBER(HostBuild[Recommended NAS (GB)]),HostBuild[Recommended NAS (GB)])+HostBuild[Additional NAS (GB)]</f>
        <v>0</v>
      </c>
      <c r="BV15" s="50"/>
      <c r="BW15" s="50"/>
      <c r="BX15" s="133">
        <f>IFERROR((HostBuild[SAN (GB)
End-State
DO NOT USE TO BUILD]+HostBuild[SAN (GB) Shared])*25%,"")</f>
        <v>84.25</v>
      </c>
      <c r="BY15" s="113">
        <f>IFERROR(HostBuild[Archive
Full (GB)]*15%,"")</f>
        <v>12.637499999999999</v>
      </c>
      <c r="BZ15" s="51"/>
      <c r="CA15" s="51"/>
      <c r="CB15" s="52"/>
      <c r="CC15" s="53"/>
      <c r="CD15" s="52"/>
      <c r="CE15" s="54"/>
      <c r="CF15" s="128"/>
      <c r="CG15" s="114"/>
      <c r="CH15" s="55"/>
      <c r="CI15" s="56"/>
      <c r="CJ15" s="57" t="s">
        <v>85</v>
      </c>
      <c r="CK15" s="58"/>
      <c r="CL15" s="59">
        <f>IFERROR(IF(FIND(CL$1,$W15)&gt;0,IF(INDEX([1]!Product_Pricing_Table[#Data],MATCH(CL$1,Products,0),2)="Cores",IF(HostBuild[Use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 s="59">
        <f>IFERROR(IF(FIND(CM$1,$W15)&gt;0,IF(INDEX([1]!Product_Pricing_Table[#Data],MATCH(CM$1,Products,0),2)="Cores",IF(HostBuild[Use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 s="59">
        <f>IFERROR(IF(FIND(CN$1,$W15)&gt;0,IF(INDEX([1]!Product_Pricing_Table[#Data],MATCH(CN$1,Products,0),2)="Cores",IF(HostBuild[Use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 s="59">
        <f>IFERROR(IF(FIND(CO$1,$W15)&gt;0,IF(INDEX([1]!Product_Pricing_Table[#Data],MATCH(CO$1,Products,0),2)="Cores",IF(HostBuild[Use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 s="59">
        <f>IFERROR(IF(FIND(CP$1,$W15)&gt;0,IF(INDEX([1]!Product_Pricing_Table[#Data],MATCH(CP$1,Products,0),2)="Cores",IF(HostBuild[Use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 s="59">
        <f>IFERROR(IF(FIND(CQ$1,$W15)&gt;0,IF(INDEX([1]!Product_Pricing_Table[#Data],MATCH(CQ$1,Products,0),2)="Cores",IF(HostBuild[Use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 s="59">
        <f>IFERROR(IF(FIND(CR$1,$W15)&gt;0,IF(INDEX([1]!Product_Pricing_Table[#Data],MATCH(CR$1,Products,0),2)="Cores",IF(HostBuild[Use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 s="59">
        <f>IFERROR(IF(FIND(CS$1,$W15)&gt;0,IF(INDEX([1]!Product_Pricing_Table[#Data],MATCH(CS$1,Products,0),2)="Cores",IF(HostBuild[Use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 s="59">
        <f>IFERROR(IF(FIND(CT$1,$W15)&gt;0,IF(INDEX([1]!Product_Pricing_Table[#Data],MATCH(CT$1,Products,0),2)="Cores",IF(HostBuild[Use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 s="59">
        <f>IFERROR(IF(FIND(CU$1,$W15)&gt;0,IF(INDEX([1]!Product_Pricing_Table[#Data],MATCH(CU$1,Products,0),2)="Cores",IF(HostBuild[Use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 s="59">
        <f>IFERROR(IF(FIND(CV$1,$W15)&gt;0,IF(INDEX([1]!Product_Pricing_Table[#Data],MATCH(CV$1,Products,0),2)="Cores",IF(HostBuild[Use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 s="59">
        <f>IFERROR(IF(FIND(CW$1,$W15)&gt;0,IF(INDEX([1]!Product_Pricing_Table[#Data],MATCH(CW$1,Products,0),2)="Cores",IF(HostBuild[Use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 s="59">
        <f>IFERROR(IF(FIND(CX$1,$W15)&gt;0,IF(INDEX([1]!Product_Pricing_Table[#Data],MATCH(CX$1,Products,0),2)="Cores",IF(HostBuild[Use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 s="59">
        <f>IFERROR(IF(FIND(CY$1,$W15)&gt;0,IF(INDEX([1]!Product_Pricing_Table[#Data],MATCH(CY$1,Products,0),2)="Cores",IF(HostBuild[Use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 s="59">
        <f>IFERROR(IF(FIND(CZ$1,$W15)&gt;0,IF(INDEX([1]!Product_Pricing_Table[#Data],MATCH(CZ$1,Products,0),2)="Cores",IF(HostBuild[Use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 s="59">
        <f>IFERROR(IF(FIND(DA$1,$W15)&gt;0,IF(INDEX([1]!Product_Pricing_Table[#Data],MATCH(DA$1,Products,0),2)="Cores",IF(HostBuild[Use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 s="59">
        <f>IFERROR(IF(FIND(DB$1,$W15)&gt;0,IF(INDEX([1]!Product_Pricing_Table[#Data],MATCH(DB$1,Products,0),2)="Cores",IF(HostBuild[Use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 s="59">
        <f>IFERROR(IF(FIND(DC$1,$W15)&gt;0,IF(INDEX([1]!Product_Pricing_Table[#Data],MATCH(DC$1,Products,0),2)="Cores",IF(HostBuild[Use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 s="59">
        <f>IFERROR(IF(FIND(DD$1,$W15)&gt;0,IF(INDEX([1]!Product_Pricing_Table[#Data],MATCH(DD$1,Products,0),2)="Cores",IF(HostBuild[Use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 s="59">
        <f>IFERROR(IF(FIND(DE$1,$W15)&gt;0,IF(INDEX([1]!Product_Pricing_Table[#Data],MATCH(DE$1,Products,0),2)="Cores",IF(HostBuild[Use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 s="60">
        <f>IFERROR(IF(FIND(DF$1,$W15)&gt;0,IF(INDEX([1]!Product_Pricing_Table[#Data],MATCH(DF$1,Products,0),2)="Cores",IF(HostBuild[Use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 s="60">
        <f>IFERROR(IF(FIND(DG$1,$W15)&gt;0,IF(INDEX([1]!Product_Pricing_Table[#Data],MATCH(DG$1,Products,0),2)="Cores",IF(HostBuild[Use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 s="59">
        <f>IFERROR(IF(FIND(DH$1,$W15)&gt;0,IF(INDEX([1]!Product_Pricing_Table[#Data],MATCH(DH$1,Products,0),2)="Cores",IF(HostBuild[Use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 s="60">
        <f>IFERROR(IF(FIND(DI$1,$W15)&gt;0,IF(INDEX([1]!Product_Pricing_Table[#Data],MATCH(DI$1,Products,0),2)="Cores",IF(HostBuild[Use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 s="59">
        <f>IFERROR(IF(FIND(DJ$1,$W15)&gt;0,IF(INDEX([1]!Product_Pricing_Table[#Data],MATCH(DJ$1,Products,0),2)="Cores",IF(HostBuild[Use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 s="59">
        <f>IFERROR(IF(FIND(DK$1,$W15)&gt;0,IF(INDEX([1]!Product_Pricing_Table[#Data],MATCH(DK$1,Products,0),2)="Cores",IF(HostBuild[Use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 s="59">
        <f>IFERROR(IF(FIND(DL$1,$W15)&gt;0,IF(INDEX([1]!Product_Pricing_Table[#Data],MATCH(DL$1,Products,0),2)="Cores",IF(HostBuild[Use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 s="59">
        <f>IFERROR(IF(FIND(DM$1,$W15)&gt;0,IF(INDEX([1]!Product_Pricing_Table[#Data],MATCH(DM$1,Products,0),2)="Cores",IF(HostBuild[Use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 s="59">
        <f>IFERROR(IF(FIND(DN$1,$W15)&gt;0,IF(INDEX([1]!Product_Pricing_Table[#Data],MATCH(DN$1,Products,0),2)="Cores",IF(HostBuild[Use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 s="59">
        <f>IFERROR(IF(FIND(DO$1,$W15)&gt;0,IF(INDEX([1]!Product_Pricing_Table[#Data],MATCH(DO$1,Products,0),2)="Cores",IF(HostBuild[Use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 s="59">
        <f>IFERROR(IF(FIND(DP$1,$W15)&gt;0,IF(INDEX([1]!Product_Pricing_Table[#Data],MATCH(DP$1,Products,0),2)="Cores",IF(HostBuild[Use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 s="59">
        <f>IFERROR(IF(FIND(DQ$1,$W15)&gt;0,IF(INDEX([1]!Product_Pricing_Table[#Data],MATCH(DQ$1,Products,0),2)="Cores",IF(HostBuild[Use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 s="59">
        <f>IFERROR(IF(FIND(DR$1,$W15)&gt;0,IF(INDEX([1]!Product_Pricing_Table[#Data],MATCH(DR$1,Products,0),2)="Cores",IF(HostBuild[Use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 s="59">
        <f>IFERROR(IF(FIND(DS$1,$W15)&gt;0,IF(INDEX([1]!Product_Pricing_Table[#Data],MATCH(DS$1,Products,0),2)="Cores",IF(HostBuild[Use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 s="59">
        <f>IFERROR(IF(FIND(DT$1,$W15)&gt;0,IF(INDEX([1]!Product_Pricing_Table[#Data],MATCH(DT$1,Products,0),2)="Cores",IF(HostBuild[Use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 s="59">
        <f>IFERROR(IF(FIND(DU$1,$W15)&gt;0,IF(INDEX([1]!Product_Pricing_Table[#Data],MATCH(DU$1,Products,0),2)="Cores",IF(HostBuild[Use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 s="59">
        <f>IFERROR(IF(FIND(DV$1,$W15)&gt;0,IF(INDEX([1]!Product_Pricing_Table[#Data],MATCH(DV$1,Products,0),2)="Cores",IF(HostBuild[Use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 s="59">
        <f>IFERROR(IF(FIND(DW$1,$W15)&gt;0,IF(INDEX([1]!Product_Pricing_Table[#Data],MATCH(DW$1,Products,0),2)="Cores",IF(HostBuild[Use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 s="59">
        <f>IFERROR(IF(FIND(DX$1,$W15)&gt;0,IF(INDEX([1]!Product_Pricing_Table[#Data],MATCH(DX$1,Products,0),2)="Cores",IF(HostBuild[Use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 s="59">
        <f>IFERROR(IF(FIND(DY$1,$W15)&gt;0,IF(INDEX([1]!Product_Pricing_Table[#Data],MATCH(DY$1,Products,0),2)="Cores",IF(HostBuild[Use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 s="59">
        <f>IFERROR(IF(FIND(DZ$1,$W15)&gt;0,IF(INDEX([1]!Product_Pricing_Table[#Data],MATCH(DZ$1,Products,0),2)="Cores",IF(HostBuild[Use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 s="59">
        <f>IFERROR(IF(FIND(EA$1,$W15)&gt;0,IF(INDEX([1]!Product_Pricing_Table[#Data],MATCH(EA$1,Products,0),2)="Cores",IF(HostBuild[Use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 s="59">
        <f>IFERROR(IF(FIND(EB$1,$W15)&gt;0,IF(INDEX([1]!Product_Pricing_Table[#Data],MATCH(EB$1,Products,0),2)="Cores",IF(HostBuild[Use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 s="60">
        <f>IFERROR(IF(FIND(EC$1,$W15)&gt;0,IF(INDEX([1]!Product_Pricing_Table[#Data],MATCH(EC$1,Products,0),2)="Cores",IF(HostBuild[Use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 s="59">
        <f>IFERROR(IF(FIND(ED$1,$W15)&gt;0,IF(INDEX([1]!Product_Pricing_Table[#Data],MATCH(ED$1,Products,0),2)="Cores",IF(HostBuild[Use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 s="59">
        <f>IFERROR(IF(FIND(EE$1,$W15)&gt;0,IF(INDEX([1]!Product_Pricing_Table[#Data],MATCH(EE$1,Products,0),2)="Cores",IF(HostBuild[Use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 s="59">
        <f>IFERROR(IF(FIND(EF$1,$W15)&gt;0,IF(INDEX([1]!Product_Pricing_Table[#Data],MATCH(EF$1,Products,0),2)="Cores",IF(HostBuild[Use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 s="59">
        <f>IFERROR(IF(FIND(EG$1,$W15)&gt;0,IF(INDEX([1]!Product_Pricing_Table[#Data],MATCH(EG$1,Products,0),2)="Cores",IF(HostBuild[Use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 s="59">
        <f>IFERROR(IF(FIND(EH$1,$W15)&gt;0,IF(INDEX([1]!Product_Pricing_Table[#Data],MATCH(EH$1,Products,0),2)="Cores",IF(HostBuild[Use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 s="59">
        <f>IFERROR(IF(FIND(EI$1,$W15)&gt;0,IF(INDEX([1]!Product_Pricing_Table[#Data],MATCH(EI$1,Products,0),2)="Cores",IF(HostBuild[Use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 s="59">
        <f>IFERROR(IF(FIND(EJ$1,$W15)&gt;0,IF(INDEX([1]!Product_Pricing_Table[#Data],MATCH(EJ$1,Products,0),2)="Cores",IF(HostBuild[Use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 s="60">
        <f>IFERROR(IF(FIND(EK$1,$W15)&gt;0,IF(INDEX([1]!Product_Pricing_Table[#Data],MATCH(EK$1,Products,0),2)="Cores",IF(HostBuild[Use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 s="61"/>
      <c r="EM15" s="62"/>
      <c r="EN15" s="63"/>
      <c r="EO15"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5" s="132">
        <f>(HostBuild[Archive
Full (GB)]+HostBuild[Archive
Incr (GB)])*Storage_DC_Dist_Tape_2014</f>
        <v>33.910624999999996</v>
      </c>
      <c r="ER15" s="132">
        <f>IF(ISNUMBER(HostBuild[Server HW Costs
(Monthly)]),SUM(HostBuild[[#This Row],[Server HW Costs
(Monthly)]:[Tape Costs
(Monthly)]]),0)</f>
        <v>1398.400625</v>
      </c>
      <c r="ES15" s="65">
        <f>HostBuild[Software Costs
'[Year 1']
(Monthly)]+HostBuild[Total Hardware Costs
(Monthly)]</f>
        <v>1398.400625</v>
      </c>
      <c r="ET15" s="65">
        <f>IFERROR(IF(FIND("Safenet",HostBuild[Server Model]),Safenet_PSE_PL600_Maint,0),0)+IFERROR(IF(FIND("XI52",HostBuild[Server Model]),IBM_DIA_XI52_Maint,0),0)+HostBuild[Software Costs
'[After Year 1']
(Monthly)]+HostBuild[Total Hardware Costs
(Monthly)]</f>
        <v>1398.400625</v>
      </c>
      <c r="EU15" s="66">
        <f>SUM(HostBuild[[#This Row],[Server Cost Breakdown]:[Network Cost]])</f>
        <v>1003.9</v>
      </c>
      <c r="EV15" s="67">
        <f>IF(HostBuild[Existing Server?]="Yes - Inside this BoM",0,SUMIF(HostBuild[Alias],HostBuild[Alias],HostBuild[CPU])+SUMIF(HostBuild[Alias],HostBuild[Alias],HostBuild[Existing CPUs]))</f>
        <v>2</v>
      </c>
      <c r="EW15" s="67">
        <f>IF(HostBuild[Existing Server?]="Yes - Inside this BoM",0,SUMIF(HostBuild[Alias],HostBuild[Alias],HostBuild[Cores 
(Licensed Units)])+SUMIF(HostBuild[Alias],HostBuild[Alias],HostBuild[Existing Cores]))</f>
        <v>16</v>
      </c>
      <c r="EX15" s="67">
        <f>IF(HostBuild[Existing Server?]="Yes - Inside this BoM",0,SUMIF(HostBuild[Alias],HostBuild[Alias],HostBuild[RAM 
(GB)])+SUMIF(HostBuild[Alias],HostBuild[Alias],HostBuild[Existing RAM (GB)]))</f>
        <v>256</v>
      </c>
      <c r="EY1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 s="66">
        <f>IF(ISBLANK(HostBuild[Server Model]),0,IF(HostBuild[Server Tier]="VMware",0,VLOOKUP(HostBuild[Server Tier],[1]!ServerTierRates[#Data],2,0))*HostBuild[CPU]*IF(AND(HostBuild[Server Type]="pSeries",HostBuild[Virtual Platform Storage Type]="Cloud-SAN"),0.25,1))</f>
        <v>608</v>
      </c>
      <c r="FD15" s="66">
        <f>0</f>
        <v>0</v>
      </c>
      <c r="FE15" s="66">
        <f>IF(HostBuild[Server Type]="VMware",HostBuild[RAM 
(GB)]*IF(ISERROR(FIND("DevCloud", HostBuild[Server Model])&gt;0),vRAM_per_vCPU_2014_Monthly,vRAM_per_vCPU_2014_Daily*30),0)</f>
        <v>0</v>
      </c>
      <c r="FF1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 s="69">
        <f>IF(HostBuild[Server Tier]="VMware",0,IF(LEFT(HostBuild[Existing Server?],3)="Yes",0,IF(OR(HostBuild[Server Type]="Sun",HostBuild[Server Type]="pSeries"),Support_Direct_Server_Sun_per_OS_2014,IF(HostBuild[Server Type]="x86",Support_Direct_Server_x86_Wintel_per_OS_2014,0))))</f>
        <v>187.1</v>
      </c>
      <c r="FI1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 spans="1:178" hidden="1">
      <c r="A16" s="122" t="s">
        <v>53</v>
      </c>
      <c r="B16" s="36"/>
      <c r="C16" s="36"/>
      <c r="D16" s="36"/>
      <c r="E16" s="37"/>
      <c r="F16" s="37"/>
      <c r="G16" s="103"/>
      <c r="H16" s="103"/>
      <c r="I16" s="38"/>
      <c r="J16" s="37"/>
      <c r="K16" s="37"/>
      <c r="L16" s="37"/>
      <c r="M16" s="103" t="e">
        <f ca="1">IF(rngIsDate(HostBuild[CTO Acceptance]),"Y","N")</f>
        <v>#NAME?</v>
      </c>
      <c r="N16" s="123" t="s">
        <v>4</v>
      </c>
      <c r="O16" s="39"/>
      <c r="P16" s="39"/>
      <c r="Q16" s="123" t="s">
        <v>0</v>
      </c>
      <c r="R16" s="126" t="str">
        <f>IF(NOT(ISBLANK(HostBuild[Env Label])),IFERROR(VLOOKUP(HostBuild[Env Label],[1]!tEnv[#Data],3,FALSE),""),"")</f>
        <v/>
      </c>
      <c r="S16" s="104"/>
      <c r="T16" s="40"/>
      <c r="U16" s="105"/>
      <c r="V16" s="123" t="s">
        <v>82</v>
      </c>
      <c r="W16" s="123" t="s">
        <v>83</v>
      </c>
      <c r="X16" s="123" t="s">
        <v>57</v>
      </c>
      <c r="Y16" s="123" t="s">
        <v>58</v>
      </c>
      <c r="Z16" s="126" t="str">
        <f>IF(NOT(ISBLANK(HostBuild[[#This Row],[Product 
(Acronym)]])),CONCATENATE(HostBuild[[#This Row],[Type]],"-",HostBuild[[#This Row],[Product 
(Acronym)]]),"")</f>
        <v>AP-ESB</v>
      </c>
      <c r="AA16" s="106"/>
      <c r="AB16" s="106" t="s">
        <v>76</v>
      </c>
      <c r="AC16" s="41"/>
      <c r="AD16" s="42"/>
      <c r="AE16" s="42"/>
      <c r="AF16" s="43"/>
      <c r="AG16" s="124"/>
      <c r="AH16" s="107"/>
      <c r="AI16" s="124" t="s">
        <v>87</v>
      </c>
      <c r="AJ16" s="123">
        <f>IF(COUNTIF(HostBuild[Alias],HostBuild[Alias]),1/COUNTIF(HostBuild[Alias],HostBuild[Alias]),0)</f>
        <v>1</v>
      </c>
      <c r="AK16" s="124"/>
      <c r="AL16" s="124"/>
      <c r="AM16" s="44" t="s">
        <v>62</v>
      </c>
      <c r="AN16" s="45" t="str">
        <f>IF(NOT(ISBLANK(HostBuild[Server Model])),VLOOKUP(HostBuild[Server Model],[1]!ServerModelsTier[#Data],2,FALSE),"")</f>
        <v>x86 Tier 3</v>
      </c>
      <c r="AO16" s="45" t="str">
        <f>IF(NOT(ISBLANK(HostBuild[Server Model])),VLOOKUP(HostBuild[Server Model],[1]!ServerModelsTier[#Data],5,FALSE),"")</f>
        <v>x86</v>
      </c>
      <c r="AP16" s="44"/>
      <c r="AQ16" s="44" t="s">
        <v>63</v>
      </c>
      <c r="AR16" s="46">
        <v>2</v>
      </c>
      <c r="AS16" s="108"/>
      <c r="AT16" s="47">
        <v>16</v>
      </c>
      <c r="AU16" s="109" t="str">
        <f>IF(IFERROR(FIND("P-Series",HostBuild[Server Tier]),0),CEILING((HostBuild[Existing CPUs]+HostBuild[CPU])*16,8),"")</f>
        <v/>
      </c>
      <c r="AV16" s="48">
        <v>256</v>
      </c>
      <c r="AW16" s="124"/>
      <c r="AX16" s="124"/>
      <c r="AY16" s="124"/>
      <c r="AZ16" s="49"/>
      <c r="BA16" s="124"/>
      <c r="BB16" s="124"/>
      <c r="BC16" s="42"/>
      <c r="BD16" s="124"/>
      <c r="BE16" s="124"/>
      <c r="BF16" s="124"/>
      <c r="BG16" s="124"/>
      <c r="BH16" s="124"/>
      <c r="BI16" s="124"/>
      <c r="BJ16" s="124"/>
      <c r="BK16"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6" s="127"/>
      <c r="BM16" s="129">
        <f>IF(ISNUMBER(HostBuild[Recommended SAN (GB)]),HostBuild[Recommended SAN (GB)])+IF(HostBuild[Additional SAN (GB)]&gt;0,CEILING(HostBuild[Additional SAN (GB)],LUN),-(CEILING(-HostBuild[Additional SAN (GB)],LUN)))</f>
        <v>337</v>
      </c>
      <c r="BN16" s="128"/>
      <c r="BO16" s="129">
        <f>HostBuild[SAN (GB)
NEEDED TODAY]+CEILING(HostBuild[SAN (GB)
RESERVED
DO NOT USE TO BUILD], LUN)</f>
        <v>337</v>
      </c>
      <c r="BP16" s="130"/>
      <c r="BQ16" s="131"/>
      <c r="BR16" s="125" t="s">
        <v>64</v>
      </c>
      <c r="BS16" s="110">
        <f>IF(HostBuild[Existing Server?]&lt;&gt;"Yes - Inside this BoM",IF(ISNUMBER(HostBuild[RAM 
(GB)]),IF(HostBuild[Existing RAM (GB)]+HostBuild[RAM 
(GB)]&gt;0,IF(HostBuild[Virtual Platform Storage Type]="NAS",110+HostBuild[Existing RAM (GB)]+HostBuild[RAM 
(GB)]*1.75,0),0),0),0)</f>
        <v>0</v>
      </c>
      <c r="BT16" s="111"/>
      <c r="BU16" s="112">
        <f>IF(ISNUMBER(HostBuild[Recommended NAS (GB)]),HostBuild[Recommended NAS (GB)])+HostBuild[Additional NAS (GB)]</f>
        <v>0</v>
      </c>
      <c r="BV16" s="50"/>
      <c r="BW16" s="50"/>
      <c r="BX16" s="133">
        <f>IFERROR((HostBuild[SAN (GB)
End-State
DO NOT USE TO BUILD]+HostBuild[SAN (GB) Shared])*25%,"")</f>
        <v>84.25</v>
      </c>
      <c r="BY16" s="113">
        <f>IFERROR(HostBuild[Archive
Full (GB)]*15%,"")</f>
        <v>12.637499999999999</v>
      </c>
      <c r="BZ16" s="51"/>
      <c r="CA16" s="51"/>
      <c r="CB16" s="52"/>
      <c r="CC16" s="53"/>
      <c r="CD16" s="52"/>
      <c r="CE16" s="54"/>
      <c r="CF16" s="128"/>
      <c r="CG16" s="114"/>
      <c r="CH16" s="55"/>
      <c r="CI16" s="56"/>
      <c r="CJ16" s="57" t="s">
        <v>85</v>
      </c>
      <c r="CK16" s="58"/>
      <c r="CL16" s="59">
        <f>IFERROR(IF(FIND(CL$1,$W16)&gt;0,IF(INDEX([1]!Product_Pricing_Table[#Data],MATCH(CL$1,Products,0),2)="Cores",IF(HostBuild[Use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 s="59">
        <f>IFERROR(IF(FIND(CM$1,$W16)&gt;0,IF(INDEX([1]!Product_Pricing_Table[#Data],MATCH(CM$1,Products,0),2)="Cores",IF(HostBuild[Use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 s="59">
        <f>IFERROR(IF(FIND(CN$1,$W16)&gt;0,IF(INDEX([1]!Product_Pricing_Table[#Data],MATCH(CN$1,Products,0),2)="Cores",IF(HostBuild[Use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 s="59">
        <f>IFERROR(IF(FIND(CO$1,$W16)&gt;0,IF(INDEX([1]!Product_Pricing_Table[#Data],MATCH(CO$1,Products,0),2)="Cores",IF(HostBuild[Use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 s="59">
        <f>IFERROR(IF(FIND(CP$1,$W16)&gt;0,IF(INDEX([1]!Product_Pricing_Table[#Data],MATCH(CP$1,Products,0),2)="Cores",IF(HostBuild[Use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 s="59">
        <f>IFERROR(IF(FIND(CQ$1,$W16)&gt;0,IF(INDEX([1]!Product_Pricing_Table[#Data],MATCH(CQ$1,Products,0),2)="Cores",IF(HostBuild[Use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 s="59">
        <f>IFERROR(IF(FIND(CR$1,$W16)&gt;0,IF(INDEX([1]!Product_Pricing_Table[#Data],MATCH(CR$1,Products,0),2)="Cores",IF(HostBuild[Use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 s="59">
        <f>IFERROR(IF(FIND(CS$1,$W16)&gt;0,IF(INDEX([1]!Product_Pricing_Table[#Data],MATCH(CS$1,Products,0),2)="Cores",IF(HostBuild[Use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 s="59">
        <f>IFERROR(IF(FIND(CT$1,$W16)&gt;0,IF(INDEX([1]!Product_Pricing_Table[#Data],MATCH(CT$1,Products,0),2)="Cores",IF(HostBuild[Use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 s="59">
        <f>IFERROR(IF(FIND(CU$1,$W16)&gt;0,IF(INDEX([1]!Product_Pricing_Table[#Data],MATCH(CU$1,Products,0),2)="Cores",IF(HostBuild[Use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 s="59">
        <f>IFERROR(IF(FIND(CV$1,$W16)&gt;0,IF(INDEX([1]!Product_Pricing_Table[#Data],MATCH(CV$1,Products,0),2)="Cores",IF(HostBuild[Use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 s="59">
        <f>IFERROR(IF(FIND(CW$1,$W16)&gt;0,IF(INDEX([1]!Product_Pricing_Table[#Data],MATCH(CW$1,Products,0),2)="Cores",IF(HostBuild[Use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 s="59">
        <f>IFERROR(IF(FIND(CX$1,$W16)&gt;0,IF(INDEX([1]!Product_Pricing_Table[#Data],MATCH(CX$1,Products,0),2)="Cores",IF(HostBuild[Use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 s="59">
        <f>IFERROR(IF(FIND(CY$1,$W16)&gt;0,IF(INDEX([1]!Product_Pricing_Table[#Data],MATCH(CY$1,Products,0),2)="Cores",IF(HostBuild[Use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 s="59">
        <f>IFERROR(IF(FIND(CZ$1,$W16)&gt;0,IF(INDEX([1]!Product_Pricing_Table[#Data],MATCH(CZ$1,Products,0),2)="Cores",IF(HostBuild[Use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 s="59">
        <f>IFERROR(IF(FIND(DA$1,$W16)&gt;0,IF(INDEX([1]!Product_Pricing_Table[#Data],MATCH(DA$1,Products,0),2)="Cores",IF(HostBuild[Use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 s="59">
        <f>IFERROR(IF(FIND(DB$1,$W16)&gt;0,IF(INDEX([1]!Product_Pricing_Table[#Data],MATCH(DB$1,Products,0),2)="Cores",IF(HostBuild[Use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 s="59">
        <f>IFERROR(IF(FIND(DC$1,$W16)&gt;0,IF(INDEX([1]!Product_Pricing_Table[#Data],MATCH(DC$1,Products,0),2)="Cores",IF(HostBuild[Use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 s="59">
        <f>IFERROR(IF(FIND(DD$1,$W16)&gt;0,IF(INDEX([1]!Product_Pricing_Table[#Data],MATCH(DD$1,Products,0),2)="Cores",IF(HostBuild[Use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 s="59">
        <f>IFERROR(IF(FIND(DE$1,$W16)&gt;0,IF(INDEX([1]!Product_Pricing_Table[#Data],MATCH(DE$1,Products,0),2)="Cores",IF(HostBuild[Use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 s="60">
        <f>IFERROR(IF(FIND(DF$1,$W16)&gt;0,IF(INDEX([1]!Product_Pricing_Table[#Data],MATCH(DF$1,Products,0),2)="Cores",IF(HostBuild[Use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 s="60">
        <f>IFERROR(IF(FIND(DG$1,$W16)&gt;0,IF(INDEX([1]!Product_Pricing_Table[#Data],MATCH(DG$1,Products,0),2)="Cores",IF(HostBuild[Use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 s="59">
        <f>IFERROR(IF(FIND(DH$1,$W16)&gt;0,IF(INDEX([1]!Product_Pricing_Table[#Data],MATCH(DH$1,Products,0),2)="Cores",IF(HostBuild[Use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 s="60">
        <f>IFERROR(IF(FIND(DI$1,$W16)&gt;0,IF(INDEX([1]!Product_Pricing_Table[#Data],MATCH(DI$1,Products,0),2)="Cores",IF(HostBuild[Use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 s="59">
        <f>IFERROR(IF(FIND(DJ$1,$W16)&gt;0,IF(INDEX([1]!Product_Pricing_Table[#Data],MATCH(DJ$1,Products,0),2)="Cores",IF(HostBuild[Use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 s="59">
        <f>IFERROR(IF(FIND(DK$1,$W16)&gt;0,IF(INDEX([1]!Product_Pricing_Table[#Data],MATCH(DK$1,Products,0),2)="Cores",IF(HostBuild[Use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 s="59">
        <f>IFERROR(IF(FIND(DL$1,$W16)&gt;0,IF(INDEX([1]!Product_Pricing_Table[#Data],MATCH(DL$1,Products,0),2)="Cores",IF(HostBuild[Use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 s="59">
        <f>IFERROR(IF(FIND(DM$1,$W16)&gt;0,IF(INDEX([1]!Product_Pricing_Table[#Data],MATCH(DM$1,Products,0),2)="Cores",IF(HostBuild[Use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 s="59">
        <f>IFERROR(IF(FIND(DN$1,$W16)&gt;0,IF(INDEX([1]!Product_Pricing_Table[#Data],MATCH(DN$1,Products,0),2)="Cores",IF(HostBuild[Use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 s="59">
        <f>IFERROR(IF(FIND(DO$1,$W16)&gt;0,IF(INDEX([1]!Product_Pricing_Table[#Data],MATCH(DO$1,Products,0),2)="Cores",IF(HostBuild[Use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 s="59">
        <f>IFERROR(IF(FIND(DP$1,$W16)&gt;0,IF(INDEX([1]!Product_Pricing_Table[#Data],MATCH(DP$1,Products,0),2)="Cores",IF(HostBuild[Use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 s="59">
        <f>IFERROR(IF(FIND(DQ$1,$W16)&gt;0,IF(INDEX([1]!Product_Pricing_Table[#Data],MATCH(DQ$1,Products,0),2)="Cores",IF(HostBuild[Use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 s="59">
        <f>IFERROR(IF(FIND(DR$1,$W16)&gt;0,IF(INDEX([1]!Product_Pricing_Table[#Data],MATCH(DR$1,Products,0),2)="Cores",IF(HostBuild[Use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 s="59">
        <f>IFERROR(IF(FIND(DS$1,$W16)&gt;0,IF(INDEX([1]!Product_Pricing_Table[#Data],MATCH(DS$1,Products,0),2)="Cores",IF(HostBuild[Use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 s="59">
        <f>IFERROR(IF(FIND(DT$1,$W16)&gt;0,IF(INDEX([1]!Product_Pricing_Table[#Data],MATCH(DT$1,Products,0),2)="Cores",IF(HostBuild[Use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 s="59">
        <f>IFERROR(IF(FIND(DU$1,$W16)&gt;0,IF(INDEX([1]!Product_Pricing_Table[#Data],MATCH(DU$1,Products,0),2)="Cores",IF(HostBuild[Use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 s="59">
        <f>IFERROR(IF(FIND(DV$1,$W16)&gt;0,IF(INDEX([1]!Product_Pricing_Table[#Data],MATCH(DV$1,Products,0),2)="Cores",IF(HostBuild[Use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 s="59">
        <f>IFERROR(IF(FIND(DW$1,$W16)&gt;0,IF(INDEX([1]!Product_Pricing_Table[#Data],MATCH(DW$1,Products,0),2)="Cores",IF(HostBuild[Use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 s="59">
        <f>IFERROR(IF(FIND(DX$1,$W16)&gt;0,IF(INDEX([1]!Product_Pricing_Table[#Data],MATCH(DX$1,Products,0),2)="Cores",IF(HostBuild[Use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 s="59">
        <f>IFERROR(IF(FIND(DY$1,$W16)&gt;0,IF(INDEX([1]!Product_Pricing_Table[#Data],MATCH(DY$1,Products,0),2)="Cores",IF(HostBuild[Use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 s="59">
        <f>IFERROR(IF(FIND(DZ$1,$W16)&gt;0,IF(INDEX([1]!Product_Pricing_Table[#Data],MATCH(DZ$1,Products,0),2)="Cores",IF(HostBuild[Use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 s="59">
        <f>IFERROR(IF(FIND(EA$1,$W16)&gt;0,IF(INDEX([1]!Product_Pricing_Table[#Data],MATCH(EA$1,Products,0),2)="Cores",IF(HostBuild[Use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 s="59">
        <f>IFERROR(IF(FIND(EB$1,$W16)&gt;0,IF(INDEX([1]!Product_Pricing_Table[#Data],MATCH(EB$1,Products,0),2)="Cores",IF(HostBuild[Use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 s="60">
        <f>IFERROR(IF(FIND(EC$1,$W16)&gt;0,IF(INDEX([1]!Product_Pricing_Table[#Data],MATCH(EC$1,Products,0),2)="Cores",IF(HostBuild[Use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 s="59">
        <f>IFERROR(IF(FIND(ED$1,$W16)&gt;0,IF(INDEX([1]!Product_Pricing_Table[#Data],MATCH(ED$1,Products,0),2)="Cores",IF(HostBuild[Use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 s="59">
        <f>IFERROR(IF(FIND(EE$1,$W16)&gt;0,IF(INDEX([1]!Product_Pricing_Table[#Data],MATCH(EE$1,Products,0),2)="Cores",IF(HostBuild[Use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 s="59">
        <f>IFERROR(IF(FIND(EF$1,$W16)&gt;0,IF(INDEX([1]!Product_Pricing_Table[#Data],MATCH(EF$1,Products,0),2)="Cores",IF(HostBuild[Use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 s="59">
        <f>IFERROR(IF(FIND(EG$1,$W16)&gt;0,IF(INDEX([1]!Product_Pricing_Table[#Data],MATCH(EG$1,Products,0),2)="Cores",IF(HostBuild[Use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 s="59">
        <f>IFERROR(IF(FIND(EH$1,$W16)&gt;0,IF(INDEX([1]!Product_Pricing_Table[#Data],MATCH(EH$1,Products,0),2)="Cores",IF(HostBuild[Use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 s="59">
        <f>IFERROR(IF(FIND(EI$1,$W16)&gt;0,IF(INDEX([1]!Product_Pricing_Table[#Data],MATCH(EI$1,Products,0),2)="Cores",IF(HostBuild[Use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 s="59">
        <f>IFERROR(IF(FIND(EJ$1,$W16)&gt;0,IF(INDEX([1]!Product_Pricing_Table[#Data],MATCH(EJ$1,Products,0),2)="Cores",IF(HostBuild[Use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 s="60">
        <f>IFERROR(IF(FIND(EK$1,$W16)&gt;0,IF(INDEX([1]!Product_Pricing_Table[#Data],MATCH(EK$1,Products,0),2)="Cores",IF(HostBuild[Use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 s="61"/>
      <c r="EM16" s="62"/>
      <c r="EN16" s="63"/>
      <c r="EO16"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6" s="132">
        <f>(HostBuild[Archive
Full (GB)]+HostBuild[Archive
Incr (GB)])*Storage_DC_Dist_Tape_2014</f>
        <v>33.910624999999996</v>
      </c>
      <c r="ER16" s="132">
        <f>IF(ISNUMBER(HostBuild[Server HW Costs
(Monthly)]),SUM(HostBuild[[#This Row],[Server HW Costs
(Monthly)]:[Tape Costs
(Monthly)]]),0)</f>
        <v>1398.400625</v>
      </c>
      <c r="ES16" s="65">
        <f>HostBuild[Software Costs
'[Year 1']
(Monthly)]+HostBuild[Total Hardware Costs
(Monthly)]</f>
        <v>1398.400625</v>
      </c>
      <c r="ET16" s="65">
        <f>IFERROR(IF(FIND("Safenet",HostBuild[Server Model]),Safenet_PSE_PL600_Maint,0),0)+IFERROR(IF(FIND("XI52",HostBuild[Server Model]),IBM_DIA_XI52_Maint,0),0)+HostBuild[Software Costs
'[After Year 1']
(Monthly)]+HostBuild[Total Hardware Costs
(Monthly)]</f>
        <v>1398.400625</v>
      </c>
      <c r="EU16" s="66">
        <f>SUM(HostBuild[[#This Row],[Server Cost Breakdown]:[Network Cost]])</f>
        <v>1003.9</v>
      </c>
      <c r="EV16" s="67">
        <f>IF(HostBuild[Existing Server?]="Yes - Inside this BoM",0,SUMIF(HostBuild[Alias],HostBuild[Alias],HostBuild[CPU])+SUMIF(HostBuild[Alias],HostBuild[Alias],HostBuild[Existing CPUs]))</f>
        <v>2</v>
      </c>
      <c r="EW16" s="67">
        <f>IF(HostBuild[Existing Server?]="Yes - Inside this BoM",0,SUMIF(HostBuild[Alias],HostBuild[Alias],HostBuild[Cores 
(Licensed Units)])+SUMIF(HostBuild[Alias],HostBuild[Alias],HostBuild[Existing Cores]))</f>
        <v>16</v>
      </c>
      <c r="EX16" s="67">
        <f>IF(HostBuild[Existing Server?]="Yes - Inside this BoM",0,SUMIF(HostBuild[Alias],HostBuild[Alias],HostBuild[RAM 
(GB)])+SUMIF(HostBuild[Alias],HostBuild[Alias],HostBuild[Existing RAM (GB)]))</f>
        <v>256</v>
      </c>
      <c r="EY1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 s="66">
        <f>IF(ISBLANK(HostBuild[Server Model]),0,IF(HostBuild[Server Tier]="VMware",0,VLOOKUP(HostBuild[Server Tier],[1]!ServerTierRates[#Data],2,0))*HostBuild[CPU]*IF(AND(HostBuild[Server Type]="pSeries",HostBuild[Virtual Platform Storage Type]="Cloud-SAN"),0.25,1))</f>
        <v>608</v>
      </c>
      <c r="FD16" s="66">
        <f>0</f>
        <v>0</v>
      </c>
      <c r="FE16" s="66">
        <f>IF(HostBuild[Server Type]="VMware",HostBuild[RAM 
(GB)]*IF(ISERROR(FIND("DevCloud", HostBuild[Server Model])&gt;0),vRAM_per_vCPU_2014_Monthly,vRAM_per_vCPU_2014_Daily*30),0)</f>
        <v>0</v>
      </c>
      <c r="FF1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 s="69">
        <f>IF(HostBuild[Server Tier]="VMware",0,IF(LEFT(HostBuild[Existing Server?],3)="Yes",0,IF(OR(HostBuild[Server Type]="Sun",HostBuild[Server Type]="pSeries"),Support_Direct_Server_Sun_per_OS_2014,IF(HostBuild[Server Type]="x86",Support_Direct_Server_x86_Wintel_per_OS_2014,0))))</f>
        <v>187.1</v>
      </c>
      <c r="FI1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7" spans="1:165" hidden="1">
      <c r="A17" s="122" t="s">
        <v>53</v>
      </c>
      <c r="B17" s="36"/>
      <c r="C17" s="36"/>
      <c r="D17" s="36"/>
      <c r="E17" s="37"/>
      <c r="F17" s="37"/>
      <c r="G17" s="103"/>
      <c r="H17" s="103"/>
      <c r="I17" s="38"/>
      <c r="J17" s="37"/>
      <c r="K17" s="37"/>
      <c r="L17" s="37"/>
      <c r="M17" s="103" t="e">
        <f ca="1">IF(rngIsDate(HostBuild[CTO Acceptance]),"Y","N")</f>
        <v>#NAME?</v>
      </c>
      <c r="N17" s="123" t="s">
        <v>4</v>
      </c>
      <c r="O17" s="39"/>
      <c r="P17" s="39"/>
      <c r="Q17" s="123" t="s">
        <v>0</v>
      </c>
      <c r="R17" s="126" t="str">
        <f>IF(NOT(ISBLANK(HostBuild[Env Label])),IFERROR(VLOOKUP(HostBuild[Env Label],[1]!tEnv[#Data],3,FALSE),""),"")</f>
        <v/>
      </c>
      <c r="S17" s="104"/>
      <c r="T17" s="40"/>
      <c r="U17" s="105"/>
      <c r="V17" s="123" t="s">
        <v>82</v>
      </c>
      <c r="W17" s="123" t="s">
        <v>83</v>
      </c>
      <c r="X17" s="123" t="s">
        <v>57</v>
      </c>
      <c r="Y17" s="123" t="s">
        <v>58</v>
      </c>
      <c r="Z17" s="126" t="str">
        <f>IF(NOT(ISBLANK(HostBuild[[#This Row],[Product 
(Acronym)]])),CONCATENATE(HostBuild[[#This Row],[Type]],"-",HostBuild[[#This Row],[Product 
(Acronym)]]),"")</f>
        <v>AP-ESB</v>
      </c>
      <c r="AA17" s="106"/>
      <c r="AB17" s="106" t="s">
        <v>76</v>
      </c>
      <c r="AC17" s="41"/>
      <c r="AD17" s="42"/>
      <c r="AE17" s="42"/>
      <c r="AF17" s="43"/>
      <c r="AG17" s="124"/>
      <c r="AH17" s="107"/>
      <c r="AI17" s="124" t="s">
        <v>88</v>
      </c>
      <c r="AJ17" s="123">
        <f>IF(COUNTIF(HostBuild[Alias],HostBuild[Alias]),1/COUNTIF(HostBuild[Alias],HostBuild[Alias]),0)</f>
        <v>1</v>
      </c>
      <c r="AK17" s="124"/>
      <c r="AL17" s="124"/>
      <c r="AM17" s="44" t="s">
        <v>62</v>
      </c>
      <c r="AN17" s="45" t="str">
        <f>IF(NOT(ISBLANK(HostBuild[Server Model])),VLOOKUP(HostBuild[Server Model],[1]!ServerModelsTier[#Data],2,FALSE),"")</f>
        <v>x86 Tier 3</v>
      </c>
      <c r="AO17" s="45" t="str">
        <f>IF(NOT(ISBLANK(HostBuild[Server Model])),VLOOKUP(HostBuild[Server Model],[1]!ServerModelsTier[#Data],5,FALSE),"")</f>
        <v>x86</v>
      </c>
      <c r="AP17" s="44"/>
      <c r="AQ17" s="44" t="s">
        <v>63</v>
      </c>
      <c r="AR17" s="46">
        <v>2</v>
      </c>
      <c r="AS17" s="108"/>
      <c r="AT17" s="47">
        <v>16</v>
      </c>
      <c r="AU17" s="109" t="str">
        <f>IF(IFERROR(FIND("P-Series",HostBuild[Server Tier]),0),CEILING((HostBuild[Existing CPUs]+HostBuild[CPU])*16,8),"")</f>
        <v/>
      </c>
      <c r="AV17" s="48">
        <v>256</v>
      </c>
      <c r="AW17" s="124"/>
      <c r="AX17" s="124"/>
      <c r="AY17" s="124"/>
      <c r="AZ17" s="49"/>
      <c r="BA17" s="124"/>
      <c r="BB17" s="124"/>
      <c r="BC17" s="42"/>
      <c r="BD17" s="124"/>
      <c r="BE17" s="124"/>
      <c r="BF17" s="124"/>
      <c r="BG17" s="124"/>
      <c r="BH17" s="124"/>
      <c r="BI17" s="124"/>
      <c r="BJ17" s="124"/>
      <c r="BK17"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7" s="127"/>
      <c r="BM17" s="129">
        <f>IF(ISNUMBER(HostBuild[Recommended SAN (GB)]),HostBuild[Recommended SAN (GB)])+IF(HostBuild[Additional SAN (GB)]&gt;0,CEILING(HostBuild[Additional SAN (GB)],LUN),-(CEILING(-HostBuild[Additional SAN (GB)],LUN)))</f>
        <v>337</v>
      </c>
      <c r="BN17" s="128"/>
      <c r="BO17" s="129">
        <f>HostBuild[SAN (GB)
NEEDED TODAY]+CEILING(HostBuild[SAN (GB)
RESERVED
DO NOT USE TO BUILD], LUN)</f>
        <v>337</v>
      </c>
      <c r="BP17" s="130"/>
      <c r="BQ17" s="131"/>
      <c r="BR17" s="125" t="s">
        <v>64</v>
      </c>
      <c r="BS17" s="110">
        <f>IF(HostBuild[Existing Server?]&lt;&gt;"Yes - Inside this BoM",IF(ISNUMBER(HostBuild[RAM 
(GB)]),IF(HostBuild[Existing RAM (GB)]+HostBuild[RAM 
(GB)]&gt;0,IF(HostBuild[Virtual Platform Storage Type]="NAS",110+HostBuild[Existing RAM (GB)]+HostBuild[RAM 
(GB)]*1.75,0),0),0),0)</f>
        <v>0</v>
      </c>
      <c r="BT17" s="111"/>
      <c r="BU17" s="112">
        <f>IF(ISNUMBER(HostBuild[Recommended NAS (GB)]),HostBuild[Recommended NAS (GB)])+HostBuild[Additional NAS (GB)]</f>
        <v>0</v>
      </c>
      <c r="BV17" s="50"/>
      <c r="BW17" s="50"/>
      <c r="BX17" s="133">
        <f>IFERROR((HostBuild[SAN (GB)
End-State
DO NOT USE TO BUILD]+HostBuild[SAN (GB) Shared])*25%,"")</f>
        <v>84.25</v>
      </c>
      <c r="BY17" s="113">
        <f>IFERROR(HostBuild[Archive
Full (GB)]*15%,"")</f>
        <v>12.637499999999999</v>
      </c>
      <c r="BZ17" s="51"/>
      <c r="CA17" s="51"/>
      <c r="CB17" s="52"/>
      <c r="CC17" s="53"/>
      <c r="CD17" s="52"/>
      <c r="CE17" s="54"/>
      <c r="CF17" s="128"/>
      <c r="CG17" s="114"/>
      <c r="CH17" s="55"/>
      <c r="CI17" s="56"/>
      <c r="CJ17" s="57" t="s">
        <v>85</v>
      </c>
      <c r="CK17" s="58"/>
      <c r="CL17" s="59">
        <f>IFERROR(IF(FIND(CL$1,$W17)&gt;0,IF(INDEX([1]!Product_Pricing_Table[#Data],MATCH(CL$1,Products,0),2)="Cores",IF(HostBuild[Use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7" s="59">
        <f>IFERROR(IF(FIND(CM$1,$W17)&gt;0,IF(INDEX([1]!Product_Pricing_Table[#Data],MATCH(CM$1,Products,0),2)="Cores",IF(HostBuild[Use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7" s="59">
        <f>IFERROR(IF(FIND(CN$1,$W17)&gt;0,IF(INDEX([1]!Product_Pricing_Table[#Data],MATCH(CN$1,Products,0),2)="Cores",IF(HostBuild[Use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7" s="59">
        <f>IFERROR(IF(FIND(CO$1,$W17)&gt;0,IF(INDEX([1]!Product_Pricing_Table[#Data],MATCH(CO$1,Products,0),2)="Cores",IF(HostBuild[Use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7" s="59">
        <f>IFERROR(IF(FIND(CP$1,$W17)&gt;0,IF(INDEX([1]!Product_Pricing_Table[#Data],MATCH(CP$1,Products,0),2)="Cores",IF(HostBuild[Use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7" s="59">
        <f>IFERROR(IF(FIND(CQ$1,$W17)&gt;0,IF(INDEX([1]!Product_Pricing_Table[#Data],MATCH(CQ$1,Products,0),2)="Cores",IF(HostBuild[Use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7" s="59">
        <f>IFERROR(IF(FIND(CR$1,$W17)&gt;0,IF(INDEX([1]!Product_Pricing_Table[#Data],MATCH(CR$1,Products,0),2)="Cores",IF(HostBuild[Use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7" s="59">
        <f>IFERROR(IF(FIND(CS$1,$W17)&gt;0,IF(INDEX([1]!Product_Pricing_Table[#Data],MATCH(CS$1,Products,0),2)="Cores",IF(HostBuild[Use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7" s="59">
        <f>IFERROR(IF(FIND(CT$1,$W17)&gt;0,IF(INDEX([1]!Product_Pricing_Table[#Data],MATCH(CT$1,Products,0),2)="Cores",IF(HostBuild[Use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7" s="59">
        <f>IFERROR(IF(FIND(CU$1,$W17)&gt;0,IF(INDEX([1]!Product_Pricing_Table[#Data],MATCH(CU$1,Products,0),2)="Cores",IF(HostBuild[Use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7" s="59">
        <f>IFERROR(IF(FIND(CV$1,$W17)&gt;0,IF(INDEX([1]!Product_Pricing_Table[#Data],MATCH(CV$1,Products,0),2)="Cores",IF(HostBuild[Use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7" s="59">
        <f>IFERROR(IF(FIND(CW$1,$W17)&gt;0,IF(INDEX([1]!Product_Pricing_Table[#Data],MATCH(CW$1,Products,0),2)="Cores",IF(HostBuild[Use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7" s="59">
        <f>IFERROR(IF(FIND(CX$1,$W17)&gt;0,IF(INDEX([1]!Product_Pricing_Table[#Data],MATCH(CX$1,Products,0),2)="Cores",IF(HostBuild[Use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7" s="59">
        <f>IFERROR(IF(FIND(CY$1,$W17)&gt;0,IF(INDEX([1]!Product_Pricing_Table[#Data],MATCH(CY$1,Products,0),2)="Cores",IF(HostBuild[Use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7" s="59">
        <f>IFERROR(IF(FIND(CZ$1,$W17)&gt;0,IF(INDEX([1]!Product_Pricing_Table[#Data],MATCH(CZ$1,Products,0),2)="Cores",IF(HostBuild[Use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7" s="59">
        <f>IFERROR(IF(FIND(DA$1,$W17)&gt;0,IF(INDEX([1]!Product_Pricing_Table[#Data],MATCH(DA$1,Products,0),2)="Cores",IF(HostBuild[Use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7" s="59">
        <f>IFERROR(IF(FIND(DB$1,$W17)&gt;0,IF(INDEX([1]!Product_Pricing_Table[#Data],MATCH(DB$1,Products,0),2)="Cores",IF(HostBuild[Use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7" s="59">
        <f>IFERROR(IF(FIND(DC$1,$W17)&gt;0,IF(INDEX([1]!Product_Pricing_Table[#Data],MATCH(DC$1,Products,0),2)="Cores",IF(HostBuild[Use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7" s="59">
        <f>IFERROR(IF(FIND(DD$1,$W17)&gt;0,IF(INDEX([1]!Product_Pricing_Table[#Data],MATCH(DD$1,Products,0),2)="Cores",IF(HostBuild[Use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7" s="59">
        <f>IFERROR(IF(FIND(DE$1,$W17)&gt;0,IF(INDEX([1]!Product_Pricing_Table[#Data],MATCH(DE$1,Products,0),2)="Cores",IF(HostBuild[Use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7" s="60">
        <f>IFERROR(IF(FIND(DF$1,$W17)&gt;0,IF(INDEX([1]!Product_Pricing_Table[#Data],MATCH(DF$1,Products,0),2)="Cores",IF(HostBuild[Use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7" s="60">
        <f>IFERROR(IF(FIND(DG$1,$W17)&gt;0,IF(INDEX([1]!Product_Pricing_Table[#Data],MATCH(DG$1,Products,0),2)="Cores",IF(HostBuild[Use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7" s="59">
        <f>IFERROR(IF(FIND(DH$1,$W17)&gt;0,IF(INDEX([1]!Product_Pricing_Table[#Data],MATCH(DH$1,Products,0),2)="Cores",IF(HostBuild[Use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7" s="60">
        <f>IFERROR(IF(FIND(DI$1,$W17)&gt;0,IF(INDEX([1]!Product_Pricing_Table[#Data],MATCH(DI$1,Products,0),2)="Cores",IF(HostBuild[Use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7" s="59">
        <f>IFERROR(IF(FIND(DJ$1,$W17)&gt;0,IF(INDEX([1]!Product_Pricing_Table[#Data],MATCH(DJ$1,Products,0),2)="Cores",IF(HostBuild[Use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7" s="59">
        <f>IFERROR(IF(FIND(DK$1,$W17)&gt;0,IF(INDEX([1]!Product_Pricing_Table[#Data],MATCH(DK$1,Products,0),2)="Cores",IF(HostBuild[Use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7" s="59">
        <f>IFERROR(IF(FIND(DL$1,$W17)&gt;0,IF(INDEX([1]!Product_Pricing_Table[#Data],MATCH(DL$1,Products,0),2)="Cores",IF(HostBuild[Use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7" s="59">
        <f>IFERROR(IF(FIND(DM$1,$W17)&gt;0,IF(INDEX([1]!Product_Pricing_Table[#Data],MATCH(DM$1,Products,0),2)="Cores",IF(HostBuild[Use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7" s="59">
        <f>IFERROR(IF(FIND(DN$1,$W17)&gt;0,IF(INDEX([1]!Product_Pricing_Table[#Data],MATCH(DN$1,Products,0),2)="Cores",IF(HostBuild[Use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7" s="59">
        <f>IFERROR(IF(FIND(DO$1,$W17)&gt;0,IF(INDEX([1]!Product_Pricing_Table[#Data],MATCH(DO$1,Products,0),2)="Cores",IF(HostBuild[Use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7" s="59">
        <f>IFERROR(IF(FIND(DP$1,$W17)&gt;0,IF(INDEX([1]!Product_Pricing_Table[#Data],MATCH(DP$1,Products,0),2)="Cores",IF(HostBuild[Use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7" s="59">
        <f>IFERROR(IF(FIND(DQ$1,$W17)&gt;0,IF(INDEX([1]!Product_Pricing_Table[#Data],MATCH(DQ$1,Products,0),2)="Cores",IF(HostBuild[Use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7" s="59">
        <f>IFERROR(IF(FIND(DR$1,$W17)&gt;0,IF(INDEX([1]!Product_Pricing_Table[#Data],MATCH(DR$1,Products,0),2)="Cores",IF(HostBuild[Use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7" s="59">
        <f>IFERROR(IF(FIND(DS$1,$W17)&gt;0,IF(INDEX([1]!Product_Pricing_Table[#Data],MATCH(DS$1,Products,0),2)="Cores",IF(HostBuild[Use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7" s="59">
        <f>IFERROR(IF(FIND(DT$1,$W17)&gt;0,IF(INDEX([1]!Product_Pricing_Table[#Data],MATCH(DT$1,Products,0),2)="Cores",IF(HostBuild[Use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7" s="59">
        <f>IFERROR(IF(FIND(DU$1,$W17)&gt;0,IF(INDEX([1]!Product_Pricing_Table[#Data],MATCH(DU$1,Products,0),2)="Cores",IF(HostBuild[Use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7" s="59">
        <f>IFERROR(IF(FIND(DV$1,$W17)&gt;0,IF(INDEX([1]!Product_Pricing_Table[#Data],MATCH(DV$1,Products,0),2)="Cores",IF(HostBuild[Use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7" s="59">
        <f>IFERROR(IF(FIND(DW$1,$W17)&gt;0,IF(INDEX([1]!Product_Pricing_Table[#Data],MATCH(DW$1,Products,0),2)="Cores",IF(HostBuild[Use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7" s="59">
        <f>IFERROR(IF(FIND(DX$1,$W17)&gt;0,IF(INDEX([1]!Product_Pricing_Table[#Data],MATCH(DX$1,Products,0),2)="Cores",IF(HostBuild[Use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7" s="59">
        <f>IFERROR(IF(FIND(DY$1,$W17)&gt;0,IF(INDEX([1]!Product_Pricing_Table[#Data],MATCH(DY$1,Products,0),2)="Cores",IF(HostBuild[Use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7" s="59">
        <f>IFERROR(IF(FIND(DZ$1,$W17)&gt;0,IF(INDEX([1]!Product_Pricing_Table[#Data],MATCH(DZ$1,Products,0),2)="Cores",IF(HostBuild[Use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7" s="59">
        <f>IFERROR(IF(FIND(EA$1,$W17)&gt;0,IF(INDEX([1]!Product_Pricing_Table[#Data],MATCH(EA$1,Products,0),2)="Cores",IF(HostBuild[Use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7" s="59">
        <f>IFERROR(IF(FIND(EB$1,$W17)&gt;0,IF(INDEX([1]!Product_Pricing_Table[#Data],MATCH(EB$1,Products,0),2)="Cores",IF(HostBuild[Use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7" s="60">
        <f>IFERROR(IF(FIND(EC$1,$W17)&gt;0,IF(INDEX([1]!Product_Pricing_Table[#Data],MATCH(EC$1,Products,0),2)="Cores",IF(HostBuild[Use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7" s="59">
        <f>IFERROR(IF(FIND(ED$1,$W17)&gt;0,IF(INDEX([1]!Product_Pricing_Table[#Data],MATCH(ED$1,Products,0),2)="Cores",IF(HostBuild[Use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7" s="59">
        <f>IFERROR(IF(FIND(EE$1,$W17)&gt;0,IF(INDEX([1]!Product_Pricing_Table[#Data],MATCH(EE$1,Products,0),2)="Cores",IF(HostBuild[Use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7" s="59">
        <f>IFERROR(IF(FIND(EF$1,$W17)&gt;0,IF(INDEX([1]!Product_Pricing_Table[#Data],MATCH(EF$1,Products,0),2)="Cores",IF(HostBuild[Use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7" s="59">
        <f>IFERROR(IF(FIND(EG$1,$W17)&gt;0,IF(INDEX([1]!Product_Pricing_Table[#Data],MATCH(EG$1,Products,0),2)="Cores",IF(HostBuild[Use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7" s="59">
        <f>IFERROR(IF(FIND(EH$1,$W17)&gt;0,IF(INDEX([1]!Product_Pricing_Table[#Data],MATCH(EH$1,Products,0),2)="Cores",IF(HostBuild[Use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7" s="59">
        <f>IFERROR(IF(FIND(EI$1,$W17)&gt;0,IF(INDEX([1]!Product_Pricing_Table[#Data],MATCH(EI$1,Products,0),2)="Cores",IF(HostBuild[Use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7" s="59">
        <f>IFERROR(IF(FIND(EJ$1,$W17)&gt;0,IF(INDEX([1]!Product_Pricing_Table[#Data],MATCH(EJ$1,Products,0),2)="Cores",IF(HostBuild[Use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7" s="60">
        <f>IFERROR(IF(FIND(EK$1,$W17)&gt;0,IF(INDEX([1]!Product_Pricing_Table[#Data],MATCH(EK$1,Products,0),2)="Cores",IF(HostBuild[Use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7" s="61"/>
      <c r="EM17" s="62"/>
      <c r="EN17" s="63"/>
      <c r="EO17"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7" s="132">
        <f>(HostBuild[Archive
Full (GB)]+HostBuild[Archive
Incr (GB)])*Storage_DC_Dist_Tape_2014</f>
        <v>33.910624999999996</v>
      </c>
      <c r="ER17" s="132">
        <f>IF(ISNUMBER(HostBuild[Server HW Costs
(Monthly)]),SUM(HostBuild[[#This Row],[Server HW Costs
(Monthly)]:[Tape Costs
(Monthly)]]),0)</f>
        <v>1398.400625</v>
      </c>
      <c r="ES17" s="65">
        <f>HostBuild[Software Costs
'[Year 1']
(Monthly)]+HostBuild[Total Hardware Costs
(Monthly)]</f>
        <v>1398.400625</v>
      </c>
      <c r="ET17" s="65">
        <f>IFERROR(IF(FIND("Safenet",HostBuild[Server Model]),Safenet_PSE_PL600_Maint,0),0)+IFERROR(IF(FIND("XI52",HostBuild[Server Model]),IBM_DIA_XI52_Maint,0),0)+HostBuild[Software Costs
'[After Year 1']
(Monthly)]+HostBuild[Total Hardware Costs
(Monthly)]</f>
        <v>1398.400625</v>
      </c>
      <c r="EU17" s="66">
        <f>SUM(HostBuild[[#This Row],[Server Cost Breakdown]:[Network Cost]])</f>
        <v>1003.9</v>
      </c>
      <c r="EV17" s="67">
        <f>IF(HostBuild[Existing Server?]="Yes - Inside this BoM",0,SUMIF(HostBuild[Alias],HostBuild[Alias],HostBuild[CPU])+SUMIF(HostBuild[Alias],HostBuild[Alias],HostBuild[Existing CPUs]))</f>
        <v>2</v>
      </c>
      <c r="EW17" s="67">
        <f>IF(HostBuild[Existing Server?]="Yes - Inside this BoM",0,SUMIF(HostBuild[Alias],HostBuild[Alias],HostBuild[Cores 
(Licensed Units)])+SUMIF(HostBuild[Alias],HostBuild[Alias],HostBuild[Existing Cores]))</f>
        <v>16</v>
      </c>
      <c r="EX17" s="67">
        <f>IF(HostBuild[Existing Server?]="Yes - Inside this BoM",0,SUMIF(HostBuild[Alias],HostBuild[Alias],HostBuild[RAM 
(GB)])+SUMIF(HostBuild[Alias],HostBuild[Alias],HostBuild[Existing RAM (GB)]))</f>
        <v>256</v>
      </c>
      <c r="EY1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7" s="66">
        <f>IF(ISBLANK(HostBuild[Server Model]),0,IF(HostBuild[Server Tier]="VMware",0,VLOOKUP(HostBuild[Server Tier],[1]!ServerTierRates[#Data],2,0))*HostBuild[CPU]*IF(AND(HostBuild[Server Type]="pSeries",HostBuild[Virtual Platform Storage Type]="Cloud-SAN"),0.25,1))</f>
        <v>608</v>
      </c>
      <c r="FD17" s="66">
        <f>0</f>
        <v>0</v>
      </c>
      <c r="FE17" s="66">
        <f>IF(HostBuild[Server Type]="VMware",HostBuild[RAM 
(GB)]*IF(ISERROR(FIND("DevCloud", HostBuild[Server Model])&gt;0),vRAM_per_vCPU_2014_Monthly,vRAM_per_vCPU_2014_Daily*30),0)</f>
        <v>0</v>
      </c>
      <c r="FF1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7" s="69">
        <f>IF(HostBuild[Server Tier]="VMware",0,IF(LEFT(HostBuild[Existing Server?],3)="Yes",0,IF(OR(HostBuild[Server Type]="Sun",HostBuild[Server Type]="pSeries"),Support_Direct_Server_Sun_per_OS_2014,IF(HostBuild[Server Type]="x86",Support_Direct_Server_x86_Wintel_per_OS_2014,0))))</f>
        <v>187.1</v>
      </c>
      <c r="FI1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8" spans="1:165" hidden="1">
      <c r="A18" s="122" t="s">
        <v>53</v>
      </c>
      <c r="B18" s="36"/>
      <c r="C18" s="36"/>
      <c r="D18" s="36"/>
      <c r="E18" s="37"/>
      <c r="F18" s="37"/>
      <c r="G18" s="103"/>
      <c r="H18" s="103"/>
      <c r="I18" s="38"/>
      <c r="J18" s="37"/>
      <c r="K18" s="37"/>
      <c r="L18" s="37"/>
      <c r="M18" s="103" t="e">
        <f ca="1">IF(rngIsDate(HostBuild[CTO Acceptance]),"Y","N")</f>
        <v>#NAME?</v>
      </c>
      <c r="N18" s="123" t="s">
        <v>4</v>
      </c>
      <c r="O18" s="39"/>
      <c r="P18" s="39"/>
      <c r="Q18" s="123" t="s">
        <v>0</v>
      </c>
      <c r="R18" s="126" t="str">
        <f>IF(NOT(ISBLANK(HostBuild[Env Label])),IFERROR(VLOOKUP(HostBuild[Env Label],[1]!tEnv[#Data],3,FALSE),""),"")</f>
        <v/>
      </c>
      <c r="S18" s="104"/>
      <c r="T18" s="40"/>
      <c r="U18" s="105"/>
      <c r="V18" s="123" t="s">
        <v>82</v>
      </c>
      <c r="W18" s="123" t="s">
        <v>83</v>
      </c>
      <c r="X18" s="123" t="s">
        <v>57</v>
      </c>
      <c r="Y18" s="123" t="s">
        <v>58</v>
      </c>
      <c r="Z18" s="126" t="str">
        <f>IF(NOT(ISBLANK(HostBuild[[#This Row],[Product 
(Acronym)]])),CONCATENATE(HostBuild[[#This Row],[Type]],"-",HostBuild[[#This Row],[Product 
(Acronym)]]),"")</f>
        <v>AP-ESB</v>
      </c>
      <c r="AA18" s="106"/>
      <c r="AB18" s="106" t="s">
        <v>76</v>
      </c>
      <c r="AC18" s="41"/>
      <c r="AD18" s="42"/>
      <c r="AE18" s="42"/>
      <c r="AF18" s="43"/>
      <c r="AG18" s="124"/>
      <c r="AH18" s="107"/>
      <c r="AI18" s="124" t="s">
        <v>89</v>
      </c>
      <c r="AJ18" s="123">
        <f>IF(COUNTIF(HostBuild[Alias],HostBuild[Alias]),1/COUNTIF(HostBuild[Alias],HostBuild[Alias]),0)</f>
        <v>1</v>
      </c>
      <c r="AK18" s="124"/>
      <c r="AL18" s="124"/>
      <c r="AM18" s="44" t="s">
        <v>62</v>
      </c>
      <c r="AN18" s="45" t="str">
        <f>IF(NOT(ISBLANK(HostBuild[Server Model])),VLOOKUP(HostBuild[Server Model],[1]!ServerModelsTier[#Data],2,FALSE),"")</f>
        <v>x86 Tier 3</v>
      </c>
      <c r="AO18" s="45" t="str">
        <f>IF(NOT(ISBLANK(HostBuild[Server Model])),VLOOKUP(HostBuild[Server Model],[1]!ServerModelsTier[#Data],5,FALSE),"")</f>
        <v>x86</v>
      </c>
      <c r="AP18" s="44"/>
      <c r="AQ18" s="44" t="s">
        <v>63</v>
      </c>
      <c r="AR18" s="46">
        <v>2</v>
      </c>
      <c r="AS18" s="108"/>
      <c r="AT18" s="47">
        <v>16</v>
      </c>
      <c r="AU18" s="109" t="str">
        <f>IF(IFERROR(FIND("P-Series",HostBuild[Server Tier]),0),CEILING((HostBuild[Existing CPUs]+HostBuild[CPU])*16,8),"")</f>
        <v/>
      </c>
      <c r="AV18" s="48">
        <v>256</v>
      </c>
      <c r="AW18" s="124"/>
      <c r="AX18" s="124"/>
      <c r="AY18" s="124"/>
      <c r="AZ18" s="49"/>
      <c r="BA18" s="124"/>
      <c r="BB18" s="124"/>
      <c r="BC18" s="42"/>
      <c r="BD18" s="124"/>
      <c r="BE18" s="124"/>
      <c r="BF18" s="124"/>
      <c r="BG18" s="124"/>
      <c r="BH18" s="124"/>
      <c r="BI18" s="124"/>
      <c r="BJ18" s="124"/>
      <c r="BK18"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8" s="127"/>
      <c r="BM18" s="129">
        <f>IF(ISNUMBER(HostBuild[Recommended SAN (GB)]),HostBuild[Recommended SAN (GB)])+IF(HostBuild[Additional SAN (GB)]&gt;0,CEILING(HostBuild[Additional SAN (GB)],LUN),-(CEILING(-HostBuild[Additional SAN (GB)],LUN)))</f>
        <v>337</v>
      </c>
      <c r="BN18" s="128"/>
      <c r="BO18" s="129">
        <f>HostBuild[SAN (GB)
NEEDED TODAY]+CEILING(HostBuild[SAN (GB)
RESERVED
DO NOT USE TO BUILD], LUN)</f>
        <v>337</v>
      </c>
      <c r="BP18" s="130"/>
      <c r="BQ18" s="131"/>
      <c r="BR18" s="125" t="s">
        <v>64</v>
      </c>
      <c r="BS18" s="110">
        <f>IF(HostBuild[Existing Server?]&lt;&gt;"Yes - Inside this BoM",IF(ISNUMBER(HostBuild[RAM 
(GB)]),IF(HostBuild[Existing RAM (GB)]+HostBuild[RAM 
(GB)]&gt;0,IF(HostBuild[Virtual Platform Storage Type]="NAS",110+HostBuild[Existing RAM (GB)]+HostBuild[RAM 
(GB)]*1.75,0),0),0),0)</f>
        <v>0</v>
      </c>
      <c r="BT18" s="111"/>
      <c r="BU18" s="112">
        <f>IF(ISNUMBER(HostBuild[Recommended NAS (GB)]),HostBuild[Recommended NAS (GB)])+HostBuild[Additional NAS (GB)]</f>
        <v>0</v>
      </c>
      <c r="BV18" s="50"/>
      <c r="BW18" s="50"/>
      <c r="BX18" s="133">
        <f>IFERROR((HostBuild[SAN (GB)
End-State
DO NOT USE TO BUILD]+HostBuild[SAN (GB) Shared])*25%,"")</f>
        <v>84.25</v>
      </c>
      <c r="BY18" s="113">
        <f>IFERROR(HostBuild[Archive
Full (GB)]*15%,"")</f>
        <v>12.637499999999999</v>
      </c>
      <c r="BZ18" s="51"/>
      <c r="CA18" s="51"/>
      <c r="CB18" s="52"/>
      <c r="CC18" s="53"/>
      <c r="CD18" s="52"/>
      <c r="CE18" s="54"/>
      <c r="CF18" s="128"/>
      <c r="CG18" s="114"/>
      <c r="CH18" s="55"/>
      <c r="CI18" s="56"/>
      <c r="CJ18" s="57" t="s">
        <v>85</v>
      </c>
      <c r="CK18" s="58"/>
      <c r="CL18" s="59">
        <f>IFERROR(IF(FIND(CL$1,$W18)&gt;0,IF(INDEX([1]!Product_Pricing_Table[#Data],MATCH(CL$1,Products,0),2)="Cores",IF(HostBuild[Use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8" s="59">
        <f>IFERROR(IF(FIND(CM$1,$W18)&gt;0,IF(INDEX([1]!Product_Pricing_Table[#Data],MATCH(CM$1,Products,0),2)="Cores",IF(HostBuild[Use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8" s="59">
        <f>IFERROR(IF(FIND(CN$1,$W18)&gt;0,IF(INDEX([1]!Product_Pricing_Table[#Data],MATCH(CN$1,Products,0),2)="Cores",IF(HostBuild[Use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8" s="59">
        <f>IFERROR(IF(FIND(CO$1,$W18)&gt;0,IF(INDEX([1]!Product_Pricing_Table[#Data],MATCH(CO$1,Products,0),2)="Cores",IF(HostBuild[Use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8" s="59">
        <f>IFERROR(IF(FIND(CP$1,$W18)&gt;0,IF(INDEX([1]!Product_Pricing_Table[#Data],MATCH(CP$1,Products,0),2)="Cores",IF(HostBuild[Use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8" s="59">
        <f>IFERROR(IF(FIND(CQ$1,$W18)&gt;0,IF(INDEX([1]!Product_Pricing_Table[#Data],MATCH(CQ$1,Products,0),2)="Cores",IF(HostBuild[Use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8" s="59">
        <f>IFERROR(IF(FIND(CR$1,$W18)&gt;0,IF(INDEX([1]!Product_Pricing_Table[#Data],MATCH(CR$1,Products,0),2)="Cores",IF(HostBuild[Use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8" s="59">
        <f>IFERROR(IF(FIND(CS$1,$W18)&gt;0,IF(INDEX([1]!Product_Pricing_Table[#Data],MATCH(CS$1,Products,0),2)="Cores",IF(HostBuild[Use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8" s="59">
        <f>IFERROR(IF(FIND(CT$1,$W18)&gt;0,IF(INDEX([1]!Product_Pricing_Table[#Data],MATCH(CT$1,Products,0),2)="Cores",IF(HostBuild[Use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8" s="59">
        <f>IFERROR(IF(FIND(CU$1,$W18)&gt;0,IF(INDEX([1]!Product_Pricing_Table[#Data],MATCH(CU$1,Products,0),2)="Cores",IF(HostBuild[Use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8" s="59">
        <f>IFERROR(IF(FIND(CV$1,$W18)&gt;0,IF(INDEX([1]!Product_Pricing_Table[#Data],MATCH(CV$1,Products,0),2)="Cores",IF(HostBuild[Use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8" s="59">
        <f>IFERROR(IF(FIND(CW$1,$W18)&gt;0,IF(INDEX([1]!Product_Pricing_Table[#Data],MATCH(CW$1,Products,0),2)="Cores",IF(HostBuild[Use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8" s="59">
        <f>IFERROR(IF(FIND(CX$1,$W18)&gt;0,IF(INDEX([1]!Product_Pricing_Table[#Data],MATCH(CX$1,Products,0),2)="Cores",IF(HostBuild[Use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8" s="59">
        <f>IFERROR(IF(FIND(CY$1,$W18)&gt;0,IF(INDEX([1]!Product_Pricing_Table[#Data],MATCH(CY$1,Products,0),2)="Cores",IF(HostBuild[Use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8" s="59">
        <f>IFERROR(IF(FIND(CZ$1,$W18)&gt;0,IF(INDEX([1]!Product_Pricing_Table[#Data],MATCH(CZ$1,Products,0),2)="Cores",IF(HostBuild[Use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8" s="59">
        <f>IFERROR(IF(FIND(DA$1,$W18)&gt;0,IF(INDEX([1]!Product_Pricing_Table[#Data],MATCH(DA$1,Products,0),2)="Cores",IF(HostBuild[Use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8" s="59">
        <f>IFERROR(IF(FIND(DB$1,$W18)&gt;0,IF(INDEX([1]!Product_Pricing_Table[#Data],MATCH(DB$1,Products,0),2)="Cores",IF(HostBuild[Use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8" s="59">
        <f>IFERROR(IF(FIND(DC$1,$W18)&gt;0,IF(INDEX([1]!Product_Pricing_Table[#Data],MATCH(DC$1,Products,0),2)="Cores",IF(HostBuild[Use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8" s="59">
        <f>IFERROR(IF(FIND(DD$1,$W18)&gt;0,IF(INDEX([1]!Product_Pricing_Table[#Data],MATCH(DD$1,Products,0),2)="Cores",IF(HostBuild[Use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8" s="59">
        <f>IFERROR(IF(FIND(DE$1,$W18)&gt;0,IF(INDEX([1]!Product_Pricing_Table[#Data],MATCH(DE$1,Products,0),2)="Cores",IF(HostBuild[Use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8" s="60">
        <f>IFERROR(IF(FIND(DF$1,$W18)&gt;0,IF(INDEX([1]!Product_Pricing_Table[#Data],MATCH(DF$1,Products,0),2)="Cores",IF(HostBuild[Use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8" s="60">
        <f>IFERROR(IF(FIND(DG$1,$W18)&gt;0,IF(INDEX([1]!Product_Pricing_Table[#Data],MATCH(DG$1,Products,0),2)="Cores",IF(HostBuild[Use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8" s="59">
        <f>IFERROR(IF(FIND(DH$1,$W18)&gt;0,IF(INDEX([1]!Product_Pricing_Table[#Data],MATCH(DH$1,Products,0),2)="Cores",IF(HostBuild[Use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8" s="60">
        <f>IFERROR(IF(FIND(DI$1,$W18)&gt;0,IF(INDEX([1]!Product_Pricing_Table[#Data],MATCH(DI$1,Products,0),2)="Cores",IF(HostBuild[Use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8" s="59">
        <f>IFERROR(IF(FIND(DJ$1,$W18)&gt;0,IF(INDEX([1]!Product_Pricing_Table[#Data],MATCH(DJ$1,Products,0),2)="Cores",IF(HostBuild[Use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8" s="59">
        <f>IFERROR(IF(FIND(DK$1,$W18)&gt;0,IF(INDEX([1]!Product_Pricing_Table[#Data],MATCH(DK$1,Products,0),2)="Cores",IF(HostBuild[Use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8" s="59">
        <f>IFERROR(IF(FIND(DL$1,$W18)&gt;0,IF(INDEX([1]!Product_Pricing_Table[#Data],MATCH(DL$1,Products,0),2)="Cores",IF(HostBuild[Use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8" s="59">
        <f>IFERROR(IF(FIND(DM$1,$W18)&gt;0,IF(INDEX([1]!Product_Pricing_Table[#Data],MATCH(DM$1,Products,0),2)="Cores",IF(HostBuild[Use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8" s="59">
        <f>IFERROR(IF(FIND(DN$1,$W18)&gt;0,IF(INDEX([1]!Product_Pricing_Table[#Data],MATCH(DN$1,Products,0),2)="Cores",IF(HostBuild[Use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8" s="59">
        <f>IFERROR(IF(FIND(DO$1,$W18)&gt;0,IF(INDEX([1]!Product_Pricing_Table[#Data],MATCH(DO$1,Products,0),2)="Cores",IF(HostBuild[Use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8" s="59">
        <f>IFERROR(IF(FIND(DP$1,$W18)&gt;0,IF(INDEX([1]!Product_Pricing_Table[#Data],MATCH(DP$1,Products,0),2)="Cores",IF(HostBuild[Use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8" s="59">
        <f>IFERROR(IF(FIND(DQ$1,$W18)&gt;0,IF(INDEX([1]!Product_Pricing_Table[#Data],MATCH(DQ$1,Products,0),2)="Cores",IF(HostBuild[Use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8" s="59">
        <f>IFERROR(IF(FIND(DR$1,$W18)&gt;0,IF(INDEX([1]!Product_Pricing_Table[#Data],MATCH(DR$1,Products,0),2)="Cores",IF(HostBuild[Use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8" s="59">
        <f>IFERROR(IF(FIND(DS$1,$W18)&gt;0,IF(INDEX([1]!Product_Pricing_Table[#Data],MATCH(DS$1,Products,0),2)="Cores",IF(HostBuild[Use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8" s="59">
        <f>IFERROR(IF(FIND(DT$1,$W18)&gt;0,IF(INDEX([1]!Product_Pricing_Table[#Data],MATCH(DT$1,Products,0),2)="Cores",IF(HostBuild[Use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8" s="59">
        <f>IFERROR(IF(FIND(DU$1,$W18)&gt;0,IF(INDEX([1]!Product_Pricing_Table[#Data],MATCH(DU$1,Products,0),2)="Cores",IF(HostBuild[Use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8" s="59">
        <f>IFERROR(IF(FIND(DV$1,$W18)&gt;0,IF(INDEX([1]!Product_Pricing_Table[#Data],MATCH(DV$1,Products,0),2)="Cores",IF(HostBuild[Use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8" s="59">
        <f>IFERROR(IF(FIND(DW$1,$W18)&gt;0,IF(INDEX([1]!Product_Pricing_Table[#Data],MATCH(DW$1,Products,0),2)="Cores",IF(HostBuild[Use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8" s="59">
        <f>IFERROR(IF(FIND(DX$1,$W18)&gt;0,IF(INDEX([1]!Product_Pricing_Table[#Data],MATCH(DX$1,Products,0),2)="Cores",IF(HostBuild[Use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8" s="59">
        <f>IFERROR(IF(FIND(DY$1,$W18)&gt;0,IF(INDEX([1]!Product_Pricing_Table[#Data],MATCH(DY$1,Products,0),2)="Cores",IF(HostBuild[Use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8" s="59">
        <f>IFERROR(IF(FIND(DZ$1,$W18)&gt;0,IF(INDEX([1]!Product_Pricing_Table[#Data],MATCH(DZ$1,Products,0),2)="Cores",IF(HostBuild[Use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8" s="59">
        <f>IFERROR(IF(FIND(EA$1,$W18)&gt;0,IF(INDEX([1]!Product_Pricing_Table[#Data],MATCH(EA$1,Products,0),2)="Cores",IF(HostBuild[Use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8" s="59">
        <f>IFERROR(IF(FIND(EB$1,$W18)&gt;0,IF(INDEX([1]!Product_Pricing_Table[#Data],MATCH(EB$1,Products,0),2)="Cores",IF(HostBuild[Use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8" s="60">
        <f>IFERROR(IF(FIND(EC$1,$W18)&gt;0,IF(INDEX([1]!Product_Pricing_Table[#Data],MATCH(EC$1,Products,0),2)="Cores",IF(HostBuild[Use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8" s="59">
        <f>IFERROR(IF(FIND(ED$1,$W18)&gt;0,IF(INDEX([1]!Product_Pricing_Table[#Data],MATCH(ED$1,Products,0),2)="Cores",IF(HostBuild[Use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8" s="59">
        <f>IFERROR(IF(FIND(EE$1,$W18)&gt;0,IF(INDEX([1]!Product_Pricing_Table[#Data],MATCH(EE$1,Products,0),2)="Cores",IF(HostBuild[Use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8" s="59">
        <f>IFERROR(IF(FIND(EF$1,$W18)&gt;0,IF(INDEX([1]!Product_Pricing_Table[#Data],MATCH(EF$1,Products,0),2)="Cores",IF(HostBuild[Use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8" s="59">
        <f>IFERROR(IF(FIND(EG$1,$W18)&gt;0,IF(INDEX([1]!Product_Pricing_Table[#Data],MATCH(EG$1,Products,0),2)="Cores",IF(HostBuild[Use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8" s="59">
        <f>IFERROR(IF(FIND(EH$1,$W18)&gt;0,IF(INDEX([1]!Product_Pricing_Table[#Data],MATCH(EH$1,Products,0),2)="Cores",IF(HostBuild[Use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8" s="59">
        <f>IFERROR(IF(FIND(EI$1,$W18)&gt;0,IF(INDEX([1]!Product_Pricing_Table[#Data],MATCH(EI$1,Products,0),2)="Cores",IF(HostBuild[Use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8" s="59">
        <f>IFERROR(IF(FIND(EJ$1,$W18)&gt;0,IF(INDEX([1]!Product_Pricing_Table[#Data],MATCH(EJ$1,Products,0),2)="Cores",IF(HostBuild[Use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8" s="60">
        <f>IFERROR(IF(FIND(EK$1,$W18)&gt;0,IF(INDEX([1]!Product_Pricing_Table[#Data],MATCH(EK$1,Products,0),2)="Cores",IF(HostBuild[Use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8" s="61"/>
      <c r="EM18" s="62"/>
      <c r="EN18" s="63"/>
      <c r="EO18"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8" s="132">
        <f>(HostBuild[Archive
Full (GB)]+HostBuild[Archive
Incr (GB)])*Storage_DC_Dist_Tape_2014</f>
        <v>33.910624999999996</v>
      </c>
      <c r="ER18" s="132">
        <f>IF(ISNUMBER(HostBuild[Server HW Costs
(Monthly)]),SUM(HostBuild[[#This Row],[Server HW Costs
(Monthly)]:[Tape Costs
(Monthly)]]),0)</f>
        <v>1398.400625</v>
      </c>
      <c r="ES18" s="65">
        <f>HostBuild[Software Costs
'[Year 1']
(Monthly)]+HostBuild[Total Hardware Costs
(Monthly)]</f>
        <v>1398.400625</v>
      </c>
      <c r="ET18" s="65">
        <f>IFERROR(IF(FIND("Safenet",HostBuild[Server Model]),Safenet_PSE_PL600_Maint,0),0)+IFERROR(IF(FIND("XI52",HostBuild[Server Model]),IBM_DIA_XI52_Maint,0),0)+HostBuild[Software Costs
'[After Year 1']
(Monthly)]+HostBuild[Total Hardware Costs
(Monthly)]</f>
        <v>1398.400625</v>
      </c>
      <c r="EU18" s="66">
        <f>SUM(HostBuild[[#This Row],[Server Cost Breakdown]:[Network Cost]])</f>
        <v>1003.9</v>
      </c>
      <c r="EV18" s="67">
        <f>IF(HostBuild[Existing Server?]="Yes - Inside this BoM",0,SUMIF(HostBuild[Alias],HostBuild[Alias],HostBuild[CPU])+SUMIF(HostBuild[Alias],HostBuild[Alias],HostBuild[Existing CPUs]))</f>
        <v>2</v>
      </c>
      <c r="EW18" s="67">
        <f>IF(HostBuild[Existing Server?]="Yes - Inside this BoM",0,SUMIF(HostBuild[Alias],HostBuild[Alias],HostBuild[Cores 
(Licensed Units)])+SUMIF(HostBuild[Alias],HostBuild[Alias],HostBuild[Existing Cores]))</f>
        <v>16</v>
      </c>
      <c r="EX18" s="67">
        <f>IF(HostBuild[Existing Server?]="Yes - Inside this BoM",0,SUMIF(HostBuild[Alias],HostBuild[Alias],HostBuild[RAM 
(GB)])+SUMIF(HostBuild[Alias],HostBuild[Alias],HostBuild[Existing RAM (GB)]))</f>
        <v>256</v>
      </c>
      <c r="EY1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8" s="66">
        <f>IF(ISBLANK(HostBuild[Server Model]),0,IF(HostBuild[Server Tier]="VMware",0,VLOOKUP(HostBuild[Server Tier],[1]!ServerTierRates[#Data],2,0))*HostBuild[CPU]*IF(AND(HostBuild[Server Type]="pSeries",HostBuild[Virtual Platform Storage Type]="Cloud-SAN"),0.25,1))</f>
        <v>608</v>
      </c>
      <c r="FD18" s="66">
        <f>0</f>
        <v>0</v>
      </c>
      <c r="FE18" s="66">
        <f>IF(HostBuild[Server Type]="VMware",HostBuild[RAM 
(GB)]*IF(ISERROR(FIND("DevCloud", HostBuild[Server Model])&gt;0),vRAM_per_vCPU_2014_Monthly,vRAM_per_vCPU_2014_Daily*30),0)</f>
        <v>0</v>
      </c>
      <c r="FF1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8" s="69">
        <f>IF(HostBuild[Server Tier]="VMware",0,IF(LEFT(HostBuild[Existing Server?],3)="Yes",0,IF(OR(HostBuild[Server Type]="Sun",HostBuild[Server Type]="pSeries"),Support_Direct_Server_Sun_per_OS_2014,IF(HostBuild[Server Type]="x86",Support_Direct_Server_x86_Wintel_per_OS_2014,0))))</f>
        <v>187.1</v>
      </c>
      <c r="FI1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9" spans="1:165" hidden="1">
      <c r="A19" s="122" t="s">
        <v>53</v>
      </c>
      <c r="B19" s="36"/>
      <c r="C19" s="36"/>
      <c r="D19" s="36"/>
      <c r="E19" s="37"/>
      <c r="F19" s="37"/>
      <c r="G19" s="103"/>
      <c r="H19" s="103"/>
      <c r="I19" s="38"/>
      <c r="J19" s="37"/>
      <c r="K19" s="37"/>
      <c r="L19" s="37"/>
      <c r="M19" s="103" t="e">
        <f ca="1">IF(rngIsDate(HostBuild[CTO Acceptance]),"Y","N")</f>
        <v>#NAME?</v>
      </c>
      <c r="N19" s="123" t="s">
        <v>4</v>
      </c>
      <c r="O19" s="39"/>
      <c r="P19" s="39"/>
      <c r="Q19" s="123" t="s">
        <v>0</v>
      </c>
      <c r="R19" s="126" t="str">
        <f>IF(NOT(ISBLANK(HostBuild[Env Label])),IFERROR(VLOOKUP(HostBuild[Env Label],[1]!tEnv[#Data],3,FALSE),""),"")</f>
        <v/>
      </c>
      <c r="S19" s="104"/>
      <c r="T19" s="40"/>
      <c r="U19" s="105"/>
      <c r="V19" s="123" t="s">
        <v>82</v>
      </c>
      <c r="W19" s="123" t="s">
        <v>83</v>
      </c>
      <c r="X19" s="123" t="s">
        <v>57</v>
      </c>
      <c r="Y19" s="123" t="s">
        <v>58</v>
      </c>
      <c r="Z19" s="126" t="str">
        <f>IF(NOT(ISBLANK(HostBuild[[#This Row],[Product 
(Acronym)]])),CONCATENATE(HostBuild[[#This Row],[Type]],"-",HostBuild[[#This Row],[Product 
(Acronym)]]),"")</f>
        <v>AP-ESB</v>
      </c>
      <c r="AA19" s="106"/>
      <c r="AB19" s="106" t="s">
        <v>76</v>
      </c>
      <c r="AC19" s="41"/>
      <c r="AD19" s="42"/>
      <c r="AE19" s="42"/>
      <c r="AF19" s="43"/>
      <c r="AG19" s="124"/>
      <c r="AH19" s="107"/>
      <c r="AI19" s="124" t="s">
        <v>90</v>
      </c>
      <c r="AJ19" s="123">
        <f>IF(COUNTIF(HostBuild[Alias],HostBuild[Alias]),1/COUNTIF(HostBuild[Alias],HostBuild[Alias]),0)</f>
        <v>1</v>
      </c>
      <c r="AK19" s="124"/>
      <c r="AL19" s="124"/>
      <c r="AM19" s="44" t="s">
        <v>62</v>
      </c>
      <c r="AN19" s="45" t="str">
        <f>IF(NOT(ISBLANK(HostBuild[Server Model])),VLOOKUP(HostBuild[Server Model],[1]!ServerModelsTier[#Data],2,FALSE),"")</f>
        <v>x86 Tier 3</v>
      </c>
      <c r="AO19" s="45" t="str">
        <f>IF(NOT(ISBLANK(HostBuild[Server Model])),VLOOKUP(HostBuild[Server Model],[1]!ServerModelsTier[#Data],5,FALSE),"")</f>
        <v>x86</v>
      </c>
      <c r="AP19" s="44"/>
      <c r="AQ19" s="44" t="s">
        <v>63</v>
      </c>
      <c r="AR19" s="46">
        <v>2</v>
      </c>
      <c r="AS19" s="108"/>
      <c r="AT19" s="47">
        <v>16</v>
      </c>
      <c r="AU19" s="109" t="str">
        <f>IF(IFERROR(FIND("P-Series",HostBuild[Server Tier]),0),CEILING((HostBuild[Existing CPUs]+HostBuild[CPU])*16,8),"")</f>
        <v/>
      </c>
      <c r="AV19" s="48">
        <v>256</v>
      </c>
      <c r="AW19" s="124"/>
      <c r="AX19" s="124"/>
      <c r="AY19" s="124"/>
      <c r="AZ19" s="49"/>
      <c r="BA19" s="124"/>
      <c r="BB19" s="124"/>
      <c r="BC19" s="42"/>
      <c r="BD19" s="124"/>
      <c r="BE19" s="124"/>
      <c r="BF19" s="124"/>
      <c r="BG19" s="124"/>
      <c r="BH19" s="124"/>
      <c r="BI19" s="124"/>
      <c r="BJ19" s="124"/>
      <c r="BK19"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9" s="127"/>
      <c r="BM19" s="129">
        <f>IF(ISNUMBER(HostBuild[Recommended SAN (GB)]),HostBuild[Recommended SAN (GB)])+IF(HostBuild[Additional SAN (GB)]&gt;0,CEILING(HostBuild[Additional SAN (GB)],LUN),-(CEILING(-HostBuild[Additional SAN (GB)],LUN)))</f>
        <v>337</v>
      </c>
      <c r="BN19" s="128"/>
      <c r="BO19" s="129">
        <f>HostBuild[SAN (GB)
NEEDED TODAY]+CEILING(HostBuild[SAN (GB)
RESERVED
DO NOT USE TO BUILD], LUN)</f>
        <v>337</v>
      </c>
      <c r="BP19" s="130"/>
      <c r="BQ19" s="131"/>
      <c r="BR19" s="125" t="s">
        <v>64</v>
      </c>
      <c r="BS19" s="110">
        <f>IF(HostBuild[Existing Server?]&lt;&gt;"Yes - Inside this BoM",IF(ISNUMBER(HostBuild[RAM 
(GB)]),IF(HostBuild[Existing RAM (GB)]+HostBuild[RAM 
(GB)]&gt;0,IF(HostBuild[Virtual Platform Storage Type]="NAS",110+HostBuild[Existing RAM (GB)]+HostBuild[RAM 
(GB)]*1.75,0),0),0),0)</f>
        <v>0</v>
      </c>
      <c r="BT19" s="111"/>
      <c r="BU19" s="112">
        <f>IF(ISNUMBER(HostBuild[Recommended NAS (GB)]),HostBuild[Recommended NAS (GB)])+HostBuild[Additional NAS (GB)]</f>
        <v>0</v>
      </c>
      <c r="BV19" s="50"/>
      <c r="BW19" s="50"/>
      <c r="BX19" s="133">
        <f>IFERROR((HostBuild[SAN (GB)
End-State
DO NOT USE TO BUILD]+HostBuild[SAN (GB) Shared])*25%,"")</f>
        <v>84.25</v>
      </c>
      <c r="BY19" s="113">
        <f>IFERROR(HostBuild[Archive
Full (GB)]*15%,"")</f>
        <v>12.637499999999999</v>
      </c>
      <c r="BZ19" s="51"/>
      <c r="CA19" s="51"/>
      <c r="CB19" s="52"/>
      <c r="CC19" s="53"/>
      <c r="CD19" s="52"/>
      <c r="CE19" s="54"/>
      <c r="CF19" s="128"/>
      <c r="CG19" s="114"/>
      <c r="CH19" s="55"/>
      <c r="CI19" s="56"/>
      <c r="CJ19" s="57" t="s">
        <v>85</v>
      </c>
      <c r="CK19" s="58"/>
      <c r="CL19" s="59">
        <f>IFERROR(IF(FIND(CL$1,$W19)&gt;0,IF(INDEX([1]!Product_Pricing_Table[#Data],MATCH(CL$1,Products,0),2)="Cores",IF(HostBuild[Use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9" s="59">
        <f>IFERROR(IF(FIND(CM$1,$W19)&gt;0,IF(INDEX([1]!Product_Pricing_Table[#Data],MATCH(CM$1,Products,0),2)="Cores",IF(HostBuild[Use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9" s="59">
        <f>IFERROR(IF(FIND(CN$1,$W19)&gt;0,IF(INDEX([1]!Product_Pricing_Table[#Data],MATCH(CN$1,Products,0),2)="Cores",IF(HostBuild[Use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9" s="59">
        <f>IFERROR(IF(FIND(CO$1,$W19)&gt;0,IF(INDEX([1]!Product_Pricing_Table[#Data],MATCH(CO$1,Products,0),2)="Cores",IF(HostBuild[Use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9" s="59">
        <f>IFERROR(IF(FIND(CP$1,$W19)&gt;0,IF(INDEX([1]!Product_Pricing_Table[#Data],MATCH(CP$1,Products,0),2)="Cores",IF(HostBuild[Use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9" s="59">
        <f>IFERROR(IF(FIND(CQ$1,$W19)&gt;0,IF(INDEX([1]!Product_Pricing_Table[#Data],MATCH(CQ$1,Products,0),2)="Cores",IF(HostBuild[Use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9" s="59">
        <f>IFERROR(IF(FIND(CR$1,$W19)&gt;0,IF(INDEX([1]!Product_Pricing_Table[#Data],MATCH(CR$1,Products,0),2)="Cores",IF(HostBuild[Use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9" s="59">
        <f>IFERROR(IF(FIND(CS$1,$W19)&gt;0,IF(INDEX([1]!Product_Pricing_Table[#Data],MATCH(CS$1,Products,0),2)="Cores",IF(HostBuild[Use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9" s="59">
        <f>IFERROR(IF(FIND(CT$1,$W19)&gt;0,IF(INDEX([1]!Product_Pricing_Table[#Data],MATCH(CT$1,Products,0),2)="Cores",IF(HostBuild[Use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9" s="59">
        <f>IFERROR(IF(FIND(CU$1,$W19)&gt;0,IF(INDEX([1]!Product_Pricing_Table[#Data],MATCH(CU$1,Products,0),2)="Cores",IF(HostBuild[Use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9" s="59">
        <f>IFERROR(IF(FIND(CV$1,$W19)&gt;0,IF(INDEX([1]!Product_Pricing_Table[#Data],MATCH(CV$1,Products,0),2)="Cores",IF(HostBuild[Use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9" s="59">
        <f>IFERROR(IF(FIND(CW$1,$W19)&gt;0,IF(INDEX([1]!Product_Pricing_Table[#Data],MATCH(CW$1,Products,0),2)="Cores",IF(HostBuild[Use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9" s="59">
        <f>IFERROR(IF(FIND(CX$1,$W19)&gt;0,IF(INDEX([1]!Product_Pricing_Table[#Data],MATCH(CX$1,Products,0),2)="Cores",IF(HostBuild[Use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9" s="59">
        <f>IFERROR(IF(FIND(CY$1,$W19)&gt;0,IF(INDEX([1]!Product_Pricing_Table[#Data],MATCH(CY$1,Products,0),2)="Cores",IF(HostBuild[Use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9" s="59">
        <f>IFERROR(IF(FIND(CZ$1,$W19)&gt;0,IF(INDEX([1]!Product_Pricing_Table[#Data],MATCH(CZ$1,Products,0),2)="Cores",IF(HostBuild[Use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9" s="59">
        <f>IFERROR(IF(FIND(DA$1,$W19)&gt;0,IF(INDEX([1]!Product_Pricing_Table[#Data],MATCH(DA$1,Products,0),2)="Cores",IF(HostBuild[Use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9" s="59">
        <f>IFERROR(IF(FIND(DB$1,$W19)&gt;0,IF(INDEX([1]!Product_Pricing_Table[#Data],MATCH(DB$1,Products,0),2)="Cores",IF(HostBuild[Use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9" s="59">
        <f>IFERROR(IF(FIND(DC$1,$W19)&gt;0,IF(INDEX([1]!Product_Pricing_Table[#Data],MATCH(DC$1,Products,0),2)="Cores",IF(HostBuild[Use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9" s="59">
        <f>IFERROR(IF(FIND(DD$1,$W19)&gt;0,IF(INDEX([1]!Product_Pricing_Table[#Data],MATCH(DD$1,Products,0),2)="Cores",IF(HostBuild[Use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9" s="59">
        <f>IFERROR(IF(FIND(DE$1,$W19)&gt;0,IF(INDEX([1]!Product_Pricing_Table[#Data],MATCH(DE$1,Products,0),2)="Cores",IF(HostBuild[Use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9" s="60">
        <f>IFERROR(IF(FIND(DF$1,$W19)&gt;0,IF(INDEX([1]!Product_Pricing_Table[#Data],MATCH(DF$1,Products,0),2)="Cores",IF(HostBuild[Use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9" s="60">
        <f>IFERROR(IF(FIND(DG$1,$W19)&gt;0,IF(INDEX([1]!Product_Pricing_Table[#Data],MATCH(DG$1,Products,0),2)="Cores",IF(HostBuild[Use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9" s="59">
        <f>IFERROR(IF(FIND(DH$1,$W19)&gt;0,IF(INDEX([1]!Product_Pricing_Table[#Data],MATCH(DH$1,Products,0),2)="Cores",IF(HostBuild[Use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9" s="60">
        <f>IFERROR(IF(FIND(DI$1,$W19)&gt;0,IF(INDEX([1]!Product_Pricing_Table[#Data],MATCH(DI$1,Products,0),2)="Cores",IF(HostBuild[Use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9" s="59">
        <f>IFERROR(IF(FIND(DJ$1,$W19)&gt;0,IF(INDEX([1]!Product_Pricing_Table[#Data],MATCH(DJ$1,Products,0),2)="Cores",IF(HostBuild[Use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9" s="59">
        <f>IFERROR(IF(FIND(DK$1,$W19)&gt;0,IF(INDEX([1]!Product_Pricing_Table[#Data],MATCH(DK$1,Products,0),2)="Cores",IF(HostBuild[Use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9" s="59">
        <f>IFERROR(IF(FIND(DL$1,$W19)&gt;0,IF(INDEX([1]!Product_Pricing_Table[#Data],MATCH(DL$1,Products,0),2)="Cores",IF(HostBuild[Use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9" s="59">
        <f>IFERROR(IF(FIND(DM$1,$W19)&gt;0,IF(INDEX([1]!Product_Pricing_Table[#Data],MATCH(DM$1,Products,0),2)="Cores",IF(HostBuild[Use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9" s="59">
        <f>IFERROR(IF(FIND(DN$1,$W19)&gt;0,IF(INDEX([1]!Product_Pricing_Table[#Data],MATCH(DN$1,Products,0),2)="Cores",IF(HostBuild[Use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9" s="59">
        <f>IFERROR(IF(FIND(DO$1,$W19)&gt;0,IF(INDEX([1]!Product_Pricing_Table[#Data],MATCH(DO$1,Products,0),2)="Cores",IF(HostBuild[Use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9" s="59">
        <f>IFERROR(IF(FIND(DP$1,$W19)&gt;0,IF(INDEX([1]!Product_Pricing_Table[#Data],MATCH(DP$1,Products,0),2)="Cores",IF(HostBuild[Use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9" s="59">
        <f>IFERROR(IF(FIND(DQ$1,$W19)&gt;0,IF(INDEX([1]!Product_Pricing_Table[#Data],MATCH(DQ$1,Products,0),2)="Cores",IF(HostBuild[Use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9" s="59">
        <f>IFERROR(IF(FIND(DR$1,$W19)&gt;0,IF(INDEX([1]!Product_Pricing_Table[#Data],MATCH(DR$1,Products,0),2)="Cores",IF(HostBuild[Use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9" s="59">
        <f>IFERROR(IF(FIND(DS$1,$W19)&gt;0,IF(INDEX([1]!Product_Pricing_Table[#Data],MATCH(DS$1,Products,0),2)="Cores",IF(HostBuild[Use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9" s="59">
        <f>IFERROR(IF(FIND(DT$1,$W19)&gt;0,IF(INDEX([1]!Product_Pricing_Table[#Data],MATCH(DT$1,Products,0),2)="Cores",IF(HostBuild[Use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9" s="59">
        <f>IFERROR(IF(FIND(DU$1,$W19)&gt;0,IF(INDEX([1]!Product_Pricing_Table[#Data],MATCH(DU$1,Products,0),2)="Cores",IF(HostBuild[Use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9" s="59">
        <f>IFERROR(IF(FIND(DV$1,$W19)&gt;0,IF(INDEX([1]!Product_Pricing_Table[#Data],MATCH(DV$1,Products,0),2)="Cores",IF(HostBuild[Use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9" s="59">
        <f>IFERROR(IF(FIND(DW$1,$W19)&gt;0,IF(INDEX([1]!Product_Pricing_Table[#Data],MATCH(DW$1,Products,0),2)="Cores",IF(HostBuild[Use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9" s="59">
        <f>IFERROR(IF(FIND(DX$1,$W19)&gt;0,IF(INDEX([1]!Product_Pricing_Table[#Data],MATCH(DX$1,Products,0),2)="Cores",IF(HostBuild[Use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9" s="59">
        <f>IFERROR(IF(FIND(DY$1,$W19)&gt;0,IF(INDEX([1]!Product_Pricing_Table[#Data],MATCH(DY$1,Products,0),2)="Cores",IF(HostBuild[Use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9" s="59">
        <f>IFERROR(IF(FIND(DZ$1,$W19)&gt;0,IF(INDEX([1]!Product_Pricing_Table[#Data],MATCH(DZ$1,Products,0),2)="Cores",IF(HostBuild[Use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9" s="59">
        <f>IFERROR(IF(FIND(EA$1,$W19)&gt;0,IF(INDEX([1]!Product_Pricing_Table[#Data],MATCH(EA$1,Products,0),2)="Cores",IF(HostBuild[Use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9" s="59">
        <f>IFERROR(IF(FIND(EB$1,$W19)&gt;0,IF(INDEX([1]!Product_Pricing_Table[#Data],MATCH(EB$1,Products,0),2)="Cores",IF(HostBuild[Use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9" s="60">
        <f>IFERROR(IF(FIND(EC$1,$W19)&gt;0,IF(INDEX([1]!Product_Pricing_Table[#Data],MATCH(EC$1,Products,0),2)="Cores",IF(HostBuild[Use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9" s="59">
        <f>IFERROR(IF(FIND(ED$1,$W19)&gt;0,IF(INDEX([1]!Product_Pricing_Table[#Data],MATCH(ED$1,Products,0),2)="Cores",IF(HostBuild[Use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9" s="59">
        <f>IFERROR(IF(FIND(EE$1,$W19)&gt;0,IF(INDEX([1]!Product_Pricing_Table[#Data],MATCH(EE$1,Products,0),2)="Cores",IF(HostBuild[Use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9" s="59">
        <f>IFERROR(IF(FIND(EF$1,$W19)&gt;0,IF(INDEX([1]!Product_Pricing_Table[#Data],MATCH(EF$1,Products,0),2)="Cores",IF(HostBuild[Use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9" s="59">
        <f>IFERROR(IF(FIND(EG$1,$W19)&gt;0,IF(INDEX([1]!Product_Pricing_Table[#Data],MATCH(EG$1,Products,0),2)="Cores",IF(HostBuild[Use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9" s="59">
        <f>IFERROR(IF(FIND(EH$1,$W19)&gt;0,IF(INDEX([1]!Product_Pricing_Table[#Data],MATCH(EH$1,Products,0),2)="Cores",IF(HostBuild[Use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9" s="59">
        <f>IFERROR(IF(FIND(EI$1,$W19)&gt;0,IF(INDEX([1]!Product_Pricing_Table[#Data],MATCH(EI$1,Products,0),2)="Cores",IF(HostBuild[Use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9" s="59">
        <f>IFERROR(IF(FIND(EJ$1,$W19)&gt;0,IF(INDEX([1]!Product_Pricing_Table[#Data],MATCH(EJ$1,Products,0),2)="Cores",IF(HostBuild[Use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9" s="60">
        <f>IFERROR(IF(FIND(EK$1,$W19)&gt;0,IF(INDEX([1]!Product_Pricing_Table[#Data],MATCH(EK$1,Products,0),2)="Cores",IF(HostBuild[Use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9" s="61"/>
      <c r="EM19" s="62"/>
      <c r="EN19" s="63"/>
      <c r="EO19"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19" s="132">
        <f>(HostBuild[Archive
Full (GB)]+HostBuild[Archive
Incr (GB)])*Storage_DC_Dist_Tape_2014</f>
        <v>33.910624999999996</v>
      </c>
      <c r="ER19" s="132">
        <f>IF(ISNUMBER(HostBuild[Server HW Costs
(Monthly)]),SUM(HostBuild[[#This Row],[Server HW Costs
(Monthly)]:[Tape Costs
(Monthly)]]),0)</f>
        <v>1398.400625</v>
      </c>
      <c r="ES19" s="65">
        <f>HostBuild[Software Costs
'[Year 1']
(Monthly)]+HostBuild[Total Hardware Costs
(Monthly)]</f>
        <v>1398.400625</v>
      </c>
      <c r="ET19" s="65">
        <f>IFERROR(IF(FIND("Safenet",HostBuild[Server Model]),Safenet_PSE_PL600_Maint,0),0)+IFERROR(IF(FIND("XI52",HostBuild[Server Model]),IBM_DIA_XI52_Maint,0),0)+HostBuild[Software Costs
'[After Year 1']
(Monthly)]+HostBuild[Total Hardware Costs
(Monthly)]</f>
        <v>1398.400625</v>
      </c>
      <c r="EU19" s="66">
        <f>SUM(HostBuild[[#This Row],[Server Cost Breakdown]:[Network Cost]])</f>
        <v>1003.9</v>
      </c>
      <c r="EV19" s="67">
        <f>IF(HostBuild[Existing Server?]="Yes - Inside this BoM",0,SUMIF(HostBuild[Alias],HostBuild[Alias],HostBuild[CPU])+SUMIF(HostBuild[Alias],HostBuild[Alias],HostBuild[Existing CPUs]))</f>
        <v>2</v>
      </c>
      <c r="EW19" s="67">
        <f>IF(HostBuild[Existing Server?]="Yes - Inside this BoM",0,SUMIF(HostBuild[Alias],HostBuild[Alias],HostBuild[Cores 
(Licensed Units)])+SUMIF(HostBuild[Alias],HostBuild[Alias],HostBuild[Existing Cores]))</f>
        <v>16</v>
      </c>
      <c r="EX19" s="67">
        <f>IF(HostBuild[Existing Server?]="Yes - Inside this BoM",0,SUMIF(HostBuild[Alias],HostBuild[Alias],HostBuild[RAM 
(GB)])+SUMIF(HostBuild[Alias],HostBuild[Alias],HostBuild[Existing RAM (GB)]))</f>
        <v>256</v>
      </c>
      <c r="EY1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9" s="66">
        <f>IF(ISBLANK(HostBuild[Server Model]),0,IF(HostBuild[Server Tier]="VMware",0,VLOOKUP(HostBuild[Server Tier],[1]!ServerTierRates[#Data],2,0))*HostBuild[CPU]*IF(AND(HostBuild[Server Type]="pSeries",HostBuild[Virtual Platform Storage Type]="Cloud-SAN"),0.25,1))</f>
        <v>608</v>
      </c>
      <c r="FD19" s="66">
        <f>0</f>
        <v>0</v>
      </c>
      <c r="FE19" s="66">
        <f>IF(HostBuild[Server Type]="VMware",HostBuild[RAM 
(GB)]*IF(ISERROR(FIND("DevCloud", HostBuild[Server Model])&gt;0),vRAM_per_vCPU_2014_Monthly,vRAM_per_vCPU_2014_Daily*30),0)</f>
        <v>0</v>
      </c>
      <c r="FF1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9" s="69">
        <f>IF(HostBuild[Server Tier]="VMware",0,IF(LEFT(HostBuild[Existing Server?],3)="Yes",0,IF(OR(HostBuild[Server Type]="Sun",HostBuild[Server Type]="pSeries"),Support_Direct_Server_Sun_per_OS_2014,IF(HostBuild[Server Type]="x86",Support_Direct_Server_x86_Wintel_per_OS_2014,0))))</f>
        <v>187.1</v>
      </c>
      <c r="FI1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0" spans="1:165" hidden="1">
      <c r="A20" s="122" t="s">
        <v>53</v>
      </c>
      <c r="B20" s="36"/>
      <c r="C20" s="36"/>
      <c r="D20" s="36"/>
      <c r="E20" s="37"/>
      <c r="F20" s="37"/>
      <c r="G20" s="103"/>
      <c r="H20" s="103"/>
      <c r="I20" s="38"/>
      <c r="J20" s="37"/>
      <c r="K20" s="37"/>
      <c r="L20" s="37"/>
      <c r="M20" s="103" t="e">
        <f ca="1">IF(rngIsDate(HostBuild[CTO Acceptance]),"Y","N")</f>
        <v>#NAME?</v>
      </c>
      <c r="N20" s="123" t="s">
        <v>4</v>
      </c>
      <c r="O20" s="39"/>
      <c r="P20" s="39"/>
      <c r="Q20" s="123" t="s">
        <v>0</v>
      </c>
      <c r="R20" s="126" t="str">
        <f>IF(NOT(ISBLANK(HostBuild[Env Label])),IFERROR(VLOOKUP(HostBuild[Env Label],[1]!tEnv[#Data],3,FALSE),""),"")</f>
        <v/>
      </c>
      <c r="S20" s="104"/>
      <c r="T20" s="40"/>
      <c r="U20" s="105"/>
      <c r="V20" s="123" t="s">
        <v>82</v>
      </c>
      <c r="W20" s="123" t="s">
        <v>83</v>
      </c>
      <c r="X20" s="123" t="s">
        <v>57</v>
      </c>
      <c r="Y20" s="123" t="s">
        <v>58</v>
      </c>
      <c r="Z20" s="126" t="str">
        <f>IF(NOT(ISBLANK(HostBuild[[#This Row],[Product 
(Acronym)]])),CONCATENATE(HostBuild[[#This Row],[Type]],"-",HostBuild[[#This Row],[Product 
(Acronym)]]),"")</f>
        <v>AP-ESB</v>
      </c>
      <c r="AA20" s="106"/>
      <c r="AB20" s="106" t="s">
        <v>76</v>
      </c>
      <c r="AC20" s="41"/>
      <c r="AD20" s="42"/>
      <c r="AE20" s="42"/>
      <c r="AF20" s="43"/>
      <c r="AG20" s="124"/>
      <c r="AH20" s="107"/>
      <c r="AI20" s="124" t="s">
        <v>91</v>
      </c>
      <c r="AJ20" s="123">
        <f>IF(COUNTIF(HostBuild[Alias],HostBuild[Alias]),1/COUNTIF(HostBuild[Alias],HostBuild[Alias]),0)</f>
        <v>1</v>
      </c>
      <c r="AK20" s="124"/>
      <c r="AL20" s="124"/>
      <c r="AM20" s="44" t="s">
        <v>62</v>
      </c>
      <c r="AN20" s="45" t="str">
        <f>IF(NOT(ISBLANK(HostBuild[Server Model])),VLOOKUP(HostBuild[Server Model],[1]!ServerModelsTier[#Data],2,FALSE),"")</f>
        <v>x86 Tier 3</v>
      </c>
      <c r="AO20" s="45" t="str">
        <f>IF(NOT(ISBLANK(HostBuild[Server Model])),VLOOKUP(HostBuild[Server Model],[1]!ServerModelsTier[#Data],5,FALSE),"")</f>
        <v>x86</v>
      </c>
      <c r="AP20" s="44"/>
      <c r="AQ20" s="44" t="s">
        <v>63</v>
      </c>
      <c r="AR20" s="46">
        <v>2</v>
      </c>
      <c r="AS20" s="108"/>
      <c r="AT20" s="47">
        <v>16</v>
      </c>
      <c r="AU20" s="109" t="str">
        <f>IF(IFERROR(FIND("P-Series",HostBuild[Server Tier]),0),CEILING((HostBuild[Existing CPUs]+HostBuild[CPU])*16,8),"")</f>
        <v/>
      </c>
      <c r="AV20" s="48">
        <v>256</v>
      </c>
      <c r="AW20" s="124"/>
      <c r="AX20" s="124"/>
      <c r="AY20" s="124"/>
      <c r="AZ20" s="49"/>
      <c r="BA20" s="124"/>
      <c r="BB20" s="124"/>
      <c r="BC20" s="42"/>
      <c r="BD20" s="124"/>
      <c r="BE20" s="124"/>
      <c r="BF20" s="124"/>
      <c r="BG20" s="124"/>
      <c r="BH20" s="124"/>
      <c r="BI20" s="124"/>
      <c r="BJ20" s="124"/>
      <c r="BK20"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20" s="127"/>
      <c r="BM20" s="129">
        <f>IF(ISNUMBER(HostBuild[Recommended SAN (GB)]),HostBuild[Recommended SAN (GB)])+IF(HostBuild[Additional SAN (GB)]&gt;0,CEILING(HostBuild[Additional SAN (GB)],LUN),-(CEILING(-HostBuild[Additional SAN (GB)],LUN)))</f>
        <v>337</v>
      </c>
      <c r="BN20" s="128"/>
      <c r="BO20" s="129">
        <f>HostBuild[SAN (GB)
NEEDED TODAY]+CEILING(HostBuild[SAN (GB)
RESERVED
DO NOT USE TO BUILD], LUN)</f>
        <v>337</v>
      </c>
      <c r="BP20" s="130"/>
      <c r="BQ20" s="131"/>
      <c r="BR20" s="125" t="s">
        <v>64</v>
      </c>
      <c r="BS20" s="110">
        <f>IF(HostBuild[Existing Server?]&lt;&gt;"Yes - Inside this BoM",IF(ISNUMBER(HostBuild[RAM 
(GB)]),IF(HostBuild[Existing RAM (GB)]+HostBuild[RAM 
(GB)]&gt;0,IF(HostBuild[Virtual Platform Storage Type]="NAS",110+HostBuild[Existing RAM (GB)]+HostBuild[RAM 
(GB)]*1.75,0),0),0),0)</f>
        <v>0</v>
      </c>
      <c r="BT20" s="111"/>
      <c r="BU20" s="112">
        <f>IF(ISNUMBER(HostBuild[Recommended NAS (GB)]),HostBuild[Recommended NAS (GB)])+HostBuild[Additional NAS (GB)]</f>
        <v>0</v>
      </c>
      <c r="BV20" s="50"/>
      <c r="BW20" s="50"/>
      <c r="BX20" s="133">
        <f>IFERROR((HostBuild[SAN (GB)
End-State
DO NOT USE TO BUILD]+HostBuild[SAN (GB) Shared])*25%,"")</f>
        <v>84.25</v>
      </c>
      <c r="BY20" s="113">
        <f>IFERROR(HostBuild[Archive
Full (GB)]*15%,"")</f>
        <v>12.637499999999999</v>
      </c>
      <c r="BZ20" s="51"/>
      <c r="CA20" s="51"/>
      <c r="CB20" s="52"/>
      <c r="CC20" s="53"/>
      <c r="CD20" s="52"/>
      <c r="CE20" s="54"/>
      <c r="CF20" s="128"/>
      <c r="CG20" s="114"/>
      <c r="CH20" s="55"/>
      <c r="CI20" s="56"/>
      <c r="CJ20" s="57" t="s">
        <v>85</v>
      </c>
      <c r="CK20" s="58"/>
      <c r="CL20" s="59">
        <f>IFERROR(IF(FIND(CL$1,$W20)&gt;0,IF(INDEX([1]!Product_Pricing_Table[#Data],MATCH(CL$1,Products,0),2)="Cores",IF(HostBuild[Use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0" s="59">
        <f>IFERROR(IF(FIND(CM$1,$W20)&gt;0,IF(INDEX([1]!Product_Pricing_Table[#Data],MATCH(CM$1,Products,0),2)="Cores",IF(HostBuild[Use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0" s="59">
        <f>IFERROR(IF(FIND(CN$1,$W20)&gt;0,IF(INDEX([1]!Product_Pricing_Table[#Data],MATCH(CN$1,Products,0),2)="Cores",IF(HostBuild[Use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0" s="59">
        <f>IFERROR(IF(FIND(CO$1,$W20)&gt;0,IF(INDEX([1]!Product_Pricing_Table[#Data],MATCH(CO$1,Products,0),2)="Cores",IF(HostBuild[Use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0" s="59">
        <f>IFERROR(IF(FIND(CP$1,$W20)&gt;0,IF(INDEX([1]!Product_Pricing_Table[#Data],MATCH(CP$1,Products,0),2)="Cores",IF(HostBuild[Use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0" s="59">
        <f>IFERROR(IF(FIND(CQ$1,$W20)&gt;0,IF(INDEX([1]!Product_Pricing_Table[#Data],MATCH(CQ$1,Products,0),2)="Cores",IF(HostBuild[Use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0" s="59">
        <f>IFERROR(IF(FIND(CR$1,$W20)&gt;0,IF(INDEX([1]!Product_Pricing_Table[#Data],MATCH(CR$1,Products,0),2)="Cores",IF(HostBuild[Use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0" s="59">
        <f>IFERROR(IF(FIND(CS$1,$W20)&gt;0,IF(INDEX([1]!Product_Pricing_Table[#Data],MATCH(CS$1,Products,0),2)="Cores",IF(HostBuild[Use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0" s="59">
        <f>IFERROR(IF(FIND(CT$1,$W20)&gt;0,IF(INDEX([1]!Product_Pricing_Table[#Data],MATCH(CT$1,Products,0),2)="Cores",IF(HostBuild[Use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0" s="59">
        <f>IFERROR(IF(FIND(CU$1,$W20)&gt;0,IF(INDEX([1]!Product_Pricing_Table[#Data],MATCH(CU$1,Products,0),2)="Cores",IF(HostBuild[Use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0" s="59">
        <f>IFERROR(IF(FIND(CV$1,$W20)&gt;0,IF(INDEX([1]!Product_Pricing_Table[#Data],MATCH(CV$1,Products,0),2)="Cores",IF(HostBuild[Use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0" s="59">
        <f>IFERROR(IF(FIND(CW$1,$W20)&gt;0,IF(INDEX([1]!Product_Pricing_Table[#Data],MATCH(CW$1,Products,0),2)="Cores",IF(HostBuild[Use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0" s="59">
        <f>IFERROR(IF(FIND(CX$1,$W20)&gt;0,IF(INDEX([1]!Product_Pricing_Table[#Data],MATCH(CX$1,Products,0),2)="Cores",IF(HostBuild[Use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0" s="59">
        <f>IFERROR(IF(FIND(CY$1,$W20)&gt;0,IF(INDEX([1]!Product_Pricing_Table[#Data],MATCH(CY$1,Products,0),2)="Cores",IF(HostBuild[Use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0" s="59">
        <f>IFERROR(IF(FIND(CZ$1,$W20)&gt;0,IF(INDEX([1]!Product_Pricing_Table[#Data],MATCH(CZ$1,Products,0),2)="Cores",IF(HostBuild[Use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0" s="59">
        <f>IFERROR(IF(FIND(DA$1,$W20)&gt;0,IF(INDEX([1]!Product_Pricing_Table[#Data],MATCH(DA$1,Products,0),2)="Cores",IF(HostBuild[Use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0" s="59">
        <f>IFERROR(IF(FIND(DB$1,$W20)&gt;0,IF(INDEX([1]!Product_Pricing_Table[#Data],MATCH(DB$1,Products,0),2)="Cores",IF(HostBuild[Use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0" s="59">
        <f>IFERROR(IF(FIND(DC$1,$W20)&gt;0,IF(INDEX([1]!Product_Pricing_Table[#Data],MATCH(DC$1,Products,0),2)="Cores",IF(HostBuild[Use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0" s="59">
        <f>IFERROR(IF(FIND(DD$1,$W20)&gt;0,IF(INDEX([1]!Product_Pricing_Table[#Data],MATCH(DD$1,Products,0),2)="Cores",IF(HostBuild[Use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0" s="59">
        <f>IFERROR(IF(FIND(DE$1,$W20)&gt;0,IF(INDEX([1]!Product_Pricing_Table[#Data],MATCH(DE$1,Products,0),2)="Cores",IF(HostBuild[Use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0" s="60">
        <f>IFERROR(IF(FIND(DF$1,$W20)&gt;0,IF(INDEX([1]!Product_Pricing_Table[#Data],MATCH(DF$1,Products,0),2)="Cores",IF(HostBuild[Use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0" s="60">
        <f>IFERROR(IF(FIND(DG$1,$W20)&gt;0,IF(INDEX([1]!Product_Pricing_Table[#Data],MATCH(DG$1,Products,0),2)="Cores",IF(HostBuild[Use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0" s="59">
        <f>IFERROR(IF(FIND(DH$1,$W20)&gt;0,IF(INDEX([1]!Product_Pricing_Table[#Data],MATCH(DH$1,Products,0),2)="Cores",IF(HostBuild[Use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0" s="60">
        <f>IFERROR(IF(FIND(DI$1,$W20)&gt;0,IF(INDEX([1]!Product_Pricing_Table[#Data],MATCH(DI$1,Products,0),2)="Cores",IF(HostBuild[Use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0" s="59">
        <f>IFERROR(IF(FIND(DJ$1,$W20)&gt;0,IF(INDEX([1]!Product_Pricing_Table[#Data],MATCH(DJ$1,Products,0),2)="Cores",IF(HostBuild[Use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0" s="59">
        <f>IFERROR(IF(FIND(DK$1,$W20)&gt;0,IF(INDEX([1]!Product_Pricing_Table[#Data],MATCH(DK$1,Products,0),2)="Cores",IF(HostBuild[Use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0" s="59">
        <f>IFERROR(IF(FIND(DL$1,$W20)&gt;0,IF(INDEX([1]!Product_Pricing_Table[#Data],MATCH(DL$1,Products,0),2)="Cores",IF(HostBuild[Use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0" s="59">
        <f>IFERROR(IF(FIND(DM$1,$W20)&gt;0,IF(INDEX([1]!Product_Pricing_Table[#Data],MATCH(DM$1,Products,0),2)="Cores",IF(HostBuild[Use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0" s="59">
        <f>IFERROR(IF(FIND(DN$1,$W20)&gt;0,IF(INDEX([1]!Product_Pricing_Table[#Data],MATCH(DN$1,Products,0),2)="Cores",IF(HostBuild[Use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0" s="59">
        <f>IFERROR(IF(FIND(DO$1,$W20)&gt;0,IF(INDEX([1]!Product_Pricing_Table[#Data],MATCH(DO$1,Products,0),2)="Cores",IF(HostBuild[Use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0" s="59">
        <f>IFERROR(IF(FIND(DP$1,$W20)&gt;0,IF(INDEX([1]!Product_Pricing_Table[#Data],MATCH(DP$1,Products,0),2)="Cores",IF(HostBuild[Use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0" s="59">
        <f>IFERROR(IF(FIND(DQ$1,$W20)&gt;0,IF(INDEX([1]!Product_Pricing_Table[#Data],MATCH(DQ$1,Products,0),2)="Cores",IF(HostBuild[Use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0" s="59">
        <f>IFERROR(IF(FIND(DR$1,$W20)&gt;0,IF(INDEX([1]!Product_Pricing_Table[#Data],MATCH(DR$1,Products,0),2)="Cores",IF(HostBuild[Use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0" s="59">
        <f>IFERROR(IF(FIND(DS$1,$W20)&gt;0,IF(INDEX([1]!Product_Pricing_Table[#Data],MATCH(DS$1,Products,0),2)="Cores",IF(HostBuild[Use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0" s="59">
        <f>IFERROR(IF(FIND(DT$1,$W20)&gt;0,IF(INDEX([1]!Product_Pricing_Table[#Data],MATCH(DT$1,Products,0),2)="Cores",IF(HostBuild[Use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0" s="59">
        <f>IFERROR(IF(FIND(DU$1,$W20)&gt;0,IF(INDEX([1]!Product_Pricing_Table[#Data],MATCH(DU$1,Products,0),2)="Cores",IF(HostBuild[Use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0" s="59">
        <f>IFERROR(IF(FIND(DV$1,$W20)&gt;0,IF(INDEX([1]!Product_Pricing_Table[#Data],MATCH(DV$1,Products,0),2)="Cores",IF(HostBuild[Use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0" s="59">
        <f>IFERROR(IF(FIND(DW$1,$W20)&gt;0,IF(INDEX([1]!Product_Pricing_Table[#Data],MATCH(DW$1,Products,0),2)="Cores",IF(HostBuild[Use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0" s="59">
        <f>IFERROR(IF(FIND(DX$1,$W20)&gt;0,IF(INDEX([1]!Product_Pricing_Table[#Data],MATCH(DX$1,Products,0),2)="Cores",IF(HostBuild[Use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0" s="59">
        <f>IFERROR(IF(FIND(DY$1,$W20)&gt;0,IF(INDEX([1]!Product_Pricing_Table[#Data],MATCH(DY$1,Products,0),2)="Cores",IF(HostBuild[Use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0" s="59">
        <f>IFERROR(IF(FIND(DZ$1,$W20)&gt;0,IF(INDEX([1]!Product_Pricing_Table[#Data],MATCH(DZ$1,Products,0),2)="Cores",IF(HostBuild[Use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0" s="59">
        <f>IFERROR(IF(FIND(EA$1,$W20)&gt;0,IF(INDEX([1]!Product_Pricing_Table[#Data],MATCH(EA$1,Products,0),2)="Cores",IF(HostBuild[Use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0" s="59">
        <f>IFERROR(IF(FIND(EB$1,$W20)&gt;0,IF(INDEX([1]!Product_Pricing_Table[#Data],MATCH(EB$1,Products,0),2)="Cores",IF(HostBuild[Use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0" s="60">
        <f>IFERROR(IF(FIND(EC$1,$W20)&gt;0,IF(INDEX([1]!Product_Pricing_Table[#Data],MATCH(EC$1,Products,0),2)="Cores",IF(HostBuild[Use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0" s="59">
        <f>IFERROR(IF(FIND(ED$1,$W20)&gt;0,IF(INDEX([1]!Product_Pricing_Table[#Data],MATCH(ED$1,Products,0),2)="Cores",IF(HostBuild[Use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0" s="59">
        <f>IFERROR(IF(FIND(EE$1,$W20)&gt;0,IF(INDEX([1]!Product_Pricing_Table[#Data],MATCH(EE$1,Products,0),2)="Cores",IF(HostBuild[Use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0" s="59">
        <f>IFERROR(IF(FIND(EF$1,$W20)&gt;0,IF(INDEX([1]!Product_Pricing_Table[#Data],MATCH(EF$1,Products,0),2)="Cores",IF(HostBuild[Use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0" s="59">
        <f>IFERROR(IF(FIND(EG$1,$W20)&gt;0,IF(INDEX([1]!Product_Pricing_Table[#Data],MATCH(EG$1,Products,0),2)="Cores",IF(HostBuild[Use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0" s="59">
        <f>IFERROR(IF(FIND(EH$1,$W20)&gt;0,IF(INDEX([1]!Product_Pricing_Table[#Data],MATCH(EH$1,Products,0),2)="Cores",IF(HostBuild[Use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0" s="59">
        <f>IFERROR(IF(FIND(EI$1,$W20)&gt;0,IF(INDEX([1]!Product_Pricing_Table[#Data],MATCH(EI$1,Products,0),2)="Cores",IF(HostBuild[Use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0" s="59">
        <f>IFERROR(IF(FIND(EJ$1,$W20)&gt;0,IF(INDEX([1]!Product_Pricing_Table[#Data],MATCH(EJ$1,Products,0),2)="Cores",IF(HostBuild[Use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0" s="60">
        <f>IFERROR(IF(FIND(EK$1,$W20)&gt;0,IF(INDEX([1]!Product_Pricing_Table[#Data],MATCH(EK$1,Products,0),2)="Cores",IF(HostBuild[Use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0" s="61"/>
      <c r="EM20" s="62"/>
      <c r="EN20" s="63"/>
      <c r="EO20"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2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20" s="132">
        <f>(HostBuild[Archive
Full (GB)]+HostBuild[Archive
Incr (GB)])*Storage_DC_Dist_Tape_2014</f>
        <v>33.910624999999996</v>
      </c>
      <c r="ER20" s="132">
        <f>IF(ISNUMBER(HostBuild[Server HW Costs
(Monthly)]),SUM(HostBuild[[#This Row],[Server HW Costs
(Monthly)]:[Tape Costs
(Monthly)]]),0)</f>
        <v>1398.400625</v>
      </c>
      <c r="ES20" s="65">
        <f>HostBuild[Software Costs
'[Year 1']
(Monthly)]+HostBuild[Total Hardware Costs
(Monthly)]</f>
        <v>1398.400625</v>
      </c>
      <c r="ET20" s="65">
        <f>IFERROR(IF(FIND("Safenet",HostBuild[Server Model]),Safenet_PSE_PL600_Maint,0),0)+IFERROR(IF(FIND("XI52",HostBuild[Server Model]),IBM_DIA_XI52_Maint,0),0)+HostBuild[Software Costs
'[After Year 1']
(Monthly)]+HostBuild[Total Hardware Costs
(Monthly)]</f>
        <v>1398.400625</v>
      </c>
      <c r="EU20" s="66">
        <f>SUM(HostBuild[[#This Row],[Server Cost Breakdown]:[Network Cost]])</f>
        <v>1003.9</v>
      </c>
      <c r="EV20" s="67">
        <f>IF(HostBuild[Existing Server?]="Yes - Inside this BoM",0,SUMIF(HostBuild[Alias],HostBuild[Alias],HostBuild[CPU])+SUMIF(HostBuild[Alias],HostBuild[Alias],HostBuild[Existing CPUs]))</f>
        <v>2</v>
      </c>
      <c r="EW20" s="67">
        <f>IF(HostBuild[Existing Server?]="Yes - Inside this BoM",0,SUMIF(HostBuild[Alias],HostBuild[Alias],HostBuild[Cores 
(Licensed Units)])+SUMIF(HostBuild[Alias],HostBuild[Alias],HostBuild[Existing Cores]))</f>
        <v>16</v>
      </c>
      <c r="EX20" s="67">
        <f>IF(HostBuild[Existing Server?]="Yes - Inside this BoM",0,SUMIF(HostBuild[Alias],HostBuild[Alias],HostBuild[RAM 
(GB)])+SUMIF(HostBuild[Alias],HostBuild[Alias],HostBuild[Existing RAM (GB)]))</f>
        <v>256</v>
      </c>
      <c r="EY2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0" s="66">
        <f>IF(ISBLANK(HostBuild[Server Model]),0,IF(HostBuild[Server Tier]="VMware",0,VLOOKUP(HostBuild[Server Tier],[1]!ServerTierRates[#Data],2,0))*HostBuild[CPU]*IF(AND(HostBuild[Server Type]="pSeries",HostBuild[Virtual Platform Storage Type]="Cloud-SAN"),0.25,1))</f>
        <v>608</v>
      </c>
      <c r="FD20" s="66">
        <f>0</f>
        <v>0</v>
      </c>
      <c r="FE20" s="66">
        <f>IF(HostBuild[Server Type]="VMware",HostBuild[RAM 
(GB)]*IF(ISERROR(FIND("DevCloud", HostBuild[Server Model])&gt;0),vRAM_per_vCPU_2014_Monthly,vRAM_per_vCPU_2014_Daily*30),0)</f>
        <v>0</v>
      </c>
      <c r="FF2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2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0" s="69">
        <f>IF(HostBuild[Server Tier]="VMware",0,IF(LEFT(HostBuild[Existing Server?],3)="Yes",0,IF(OR(HostBuild[Server Type]="Sun",HostBuild[Server Type]="pSeries"),Support_Direct_Server_Sun_per_OS_2014,IF(HostBuild[Server Type]="x86",Support_Direct_Server_x86_Wintel_per_OS_2014,0))))</f>
        <v>187.1</v>
      </c>
      <c r="FI2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1" spans="1:165" hidden="1">
      <c r="A21" s="122" t="s">
        <v>53</v>
      </c>
      <c r="B21" s="36"/>
      <c r="C21" s="36"/>
      <c r="D21" s="36"/>
      <c r="E21" s="37"/>
      <c r="F21" s="37"/>
      <c r="G21" s="103"/>
      <c r="H21" s="103"/>
      <c r="I21" s="38"/>
      <c r="J21" s="37"/>
      <c r="K21" s="37"/>
      <c r="L21" s="37"/>
      <c r="M21" s="103" t="e">
        <f ca="1">IF(rngIsDate(HostBuild[CTO Acceptance]),"Y","N")</f>
        <v>#NAME?</v>
      </c>
      <c r="N21" s="123" t="s">
        <v>4</v>
      </c>
      <c r="O21" s="39"/>
      <c r="P21" s="39"/>
      <c r="Q21" s="123" t="s">
        <v>0</v>
      </c>
      <c r="R21" s="126" t="str">
        <f>IF(NOT(ISBLANK(HostBuild[Env Label])),IFERROR(VLOOKUP(HostBuild[Env Label],[1]!tEnv[#Data],3,FALSE),""),"")</f>
        <v/>
      </c>
      <c r="S21" s="104"/>
      <c r="T21" s="40"/>
      <c r="U21" s="105"/>
      <c r="V21" s="123" t="s">
        <v>82</v>
      </c>
      <c r="W21" s="123" t="s">
        <v>83</v>
      </c>
      <c r="X21" s="123" t="s">
        <v>57</v>
      </c>
      <c r="Y21" s="123" t="s">
        <v>58</v>
      </c>
      <c r="Z21" s="126" t="str">
        <f>IF(NOT(ISBLANK(HostBuild[[#This Row],[Product 
(Acronym)]])),CONCATENATE(HostBuild[[#This Row],[Type]],"-",HostBuild[[#This Row],[Product 
(Acronym)]]),"")</f>
        <v>AP-ESB</v>
      </c>
      <c r="AA21" s="106"/>
      <c r="AB21" s="106" t="s">
        <v>76</v>
      </c>
      <c r="AC21" s="41"/>
      <c r="AD21" s="42"/>
      <c r="AE21" s="42"/>
      <c r="AF21" s="43"/>
      <c r="AG21" s="124"/>
      <c r="AH21" s="107"/>
      <c r="AI21" s="124" t="s">
        <v>92</v>
      </c>
      <c r="AJ21" s="123">
        <f>IF(COUNTIF(HostBuild[Alias],HostBuild[Alias]),1/COUNTIF(HostBuild[Alias],HostBuild[Alias]),0)</f>
        <v>1</v>
      </c>
      <c r="AK21" s="124"/>
      <c r="AL21" s="124"/>
      <c r="AM21" s="44" t="s">
        <v>62</v>
      </c>
      <c r="AN21" s="45" t="str">
        <f>IF(NOT(ISBLANK(HostBuild[Server Model])),VLOOKUP(HostBuild[Server Model],[1]!ServerModelsTier[#Data],2,FALSE),"")</f>
        <v>x86 Tier 3</v>
      </c>
      <c r="AO21" s="45" t="str">
        <f>IF(NOT(ISBLANK(HostBuild[Server Model])),VLOOKUP(HostBuild[Server Model],[1]!ServerModelsTier[#Data],5,FALSE),"")</f>
        <v>x86</v>
      </c>
      <c r="AP21" s="44"/>
      <c r="AQ21" s="44" t="s">
        <v>63</v>
      </c>
      <c r="AR21" s="46">
        <v>2</v>
      </c>
      <c r="AS21" s="108"/>
      <c r="AT21" s="47">
        <v>16</v>
      </c>
      <c r="AU21" s="109" t="str">
        <f>IF(IFERROR(FIND("P-Series",HostBuild[Server Tier]),0),CEILING((HostBuild[Existing CPUs]+HostBuild[CPU])*16,8),"")</f>
        <v/>
      </c>
      <c r="AV21" s="48">
        <v>256</v>
      </c>
      <c r="AW21" s="124"/>
      <c r="AX21" s="124"/>
      <c r="AY21" s="124"/>
      <c r="AZ21" s="49"/>
      <c r="BA21" s="124"/>
      <c r="BB21" s="124"/>
      <c r="BC21" s="42"/>
      <c r="BD21" s="124"/>
      <c r="BE21" s="124"/>
      <c r="BF21" s="124"/>
      <c r="BG21" s="124"/>
      <c r="BH21" s="124"/>
      <c r="BI21" s="124"/>
      <c r="BJ21" s="124"/>
      <c r="BK21"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21" s="127"/>
      <c r="BM21" s="129">
        <f>IF(ISNUMBER(HostBuild[Recommended SAN (GB)]),HostBuild[Recommended SAN (GB)])+IF(HostBuild[Additional SAN (GB)]&gt;0,CEILING(HostBuild[Additional SAN (GB)],LUN),-(CEILING(-HostBuild[Additional SAN (GB)],LUN)))</f>
        <v>337</v>
      </c>
      <c r="BN21" s="128"/>
      <c r="BO21" s="129">
        <f>HostBuild[SAN (GB)
NEEDED TODAY]+CEILING(HostBuild[SAN (GB)
RESERVED
DO NOT USE TO BUILD], LUN)</f>
        <v>337</v>
      </c>
      <c r="BP21" s="130"/>
      <c r="BQ21" s="131"/>
      <c r="BR21" s="125" t="s">
        <v>64</v>
      </c>
      <c r="BS21" s="110">
        <f>IF(HostBuild[Existing Server?]&lt;&gt;"Yes - Inside this BoM",IF(ISNUMBER(HostBuild[RAM 
(GB)]),IF(HostBuild[Existing RAM (GB)]+HostBuild[RAM 
(GB)]&gt;0,IF(HostBuild[Virtual Platform Storage Type]="NAS",110+HostBuild[Existing RAM (GB)]+HostBuild[RAM 
(GB)]*1.75,0),0),0),0)</f>
        <v>0</v>
      </c>
      <c r="BT21" s="111"/>
      <c r="BU21" s="112">
        <f>IF(ISNUMBER(HostBuild[Recommended NAS (GB)]),HostBuild[Recommended NAS (GB)])+HostBuild[Additional NAS (GB)]</f>
        <v>0</v>
      </c>
      <c r="BV21" s="50"/>
      <c r="BW21" s="50"/>
      <c r="BX21" s="133">
        <f>IFERROR((HostBuild[SAN (GB)
End-State
DO NOT USE TO BUILD]+HostBuild[SAN (GB) Shared])*25%,"")</f>
        <v>84.25</v>
      </c>
      <c r="BY21" s="113">
        <f>IFERROR(HostBuild[Archive
Full (GB)]*15%,"")</f>
        <v>12.637499999999999</v>
      </c>
      <c r="BZ21" s="51"/>
      <c r="CA21" s="51"/>
      <c r="CB21" s="52"/>
      <c r="CC21" s="53"/>
      <c r="CD21" s="52"/>
      <c r="CE21" s="54"/>
      <c r="CF21" s="128"/>
      <c r="CG21" s="114"/>
      <c r="CH21" s="55"/>
      <c r="CI21" s="56"/>
      <c r="CJ21" s="57" t="s">
        <v>85</v>
      </c>
      <c r="CK21" s="58"/>
      <c r="CL21" s="59">
        <f>IFERROR(IF(FIND(CL$1,$W21)&gt;0,IF(INDEX([1]!Product_Pricing_Table[#Data],MATCH(CL$1,Products,0),2)="Cores",IF(HostBuild[Use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1" s="59">
        <f>IFERROR(IF(FIND(CM$1,$W21)&gt;0,IF(INDEX([1]!Product_Pricing_Table[#Data],MATCH(CM$1,Products,0),2)="Cores",IF(HostBuild[Use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1" s="59">
        <f>IFERROR(IF(FIND(CN$1,$W21)&gt;0,IF(INDEX([1]!Product_Pricing_Table[#Data],MATCH(CN$1,Products,0),2)="Cores",IF(HostBuild[Use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1" s="59">
        <f>IFERROR(IF(FIND(CO$1,$W21)&gt;0,IF(INDEX([1]!Product_Pricing_Table[#Data],MATCH(CO$1,Products,0),2)="Cores",IF(HostBuild[Use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1" s="59">
        <f>IFERROR(IF(FIND(CP$1,$W21)&gt;0,IF(INDEX([1]!Product_Pricing_Table[#Data],MATCH(CP$1,Products,0),2)="Cores",IF(HostBuild[Use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1" s="59">
        <f>IFERROR(IF(FIND(CQ$1,$W21)&gt;0,IF(INDEX([1]!Product_Pricing_Table[#Data],MATCH(CQ$1,Products,0),2)="Cores",IF(HostBuild[Use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1" s="59">
        <f>IFERROR(IF(FIND(CR$1,$W21)&gt;0,IF(INDEX([1]!Product_Pricing_Table[#Data],MATCH(CR$1,Products,0),2)="Cores",IF(HostBuild[Use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1" s="59">
        <f>IFERROR(IF(FIND(CS$1,$W21)&gt;0,IF(INDEX([1]!Product_Pricing_Table[#Data],MATCH(CS$1,Products,0),2)="Cores",IF(HostBuild[Use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1" s="59">
        <f>IFERROR(IF(FIND(CT$1,$W21)&gt;0,IF(INDEX([1]!Product_Pricing_Table[#Data],MATCH(CT$1,Products,0),2)="Cores",IF(HostBuild[Use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1" s="59">
        <f>IFERROR(IF(FIND(CU$1,$W21)&gt;0,IF(INDEX([1]!Product_Pricing_Table[#Data],MATCH(CU$1,Products,0),2)="Cores",IF(HostBuild[Use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1" s="59">
        <f>IFERROR(IF(FIND(CV$1,$W21)&gt;0,IF(INDEX([1]!Product_Pricing_Table[#Data],MATCH(CV$1,Products,0),2)="Cores",IF(HostBuild[Use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1" s="59">
        <f>IFERROR(IF(FIND(CW$1,$W21)&gt;0,IF(INDEX([1]!Product_Pricing_Table[#Data],MATCH(CW$1,Products,0),2)="Cores",IF(HostBuild[Use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1" s="59">
        <f>IFERROR(IF(FIND(CX$1,$W21)&gt;0,IF(INDEX([1]!Product_Pricing_Table[#Data],MATCH(CX$1,Products,0),2)="Cores",IF(HostBuild[Use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1" s="59">
        <f>IFERROR(IF(FIND(CY$1,$W21)&gt;0,IF(INDEX([1]!Product_Pricing_Table[#Data],MATCH(CY$1,Products,0),2)="Cores",IF(HostBuild[Use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1" s="59">
        <f>IFERROR(IF(FIND(CZ$1,$W21)&gt;0,IF(INDEX([1]!Product_Pricing_Table[#Data],MATCH(CZ$1,Products,0),2)="Cores",IF(HostBuild[Use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1" s="59">
        <f>IFERROR(IF(FIND(DA$1,$W21)&gt;0,IF(INDEX([1]!Product_Pricing_Table[#Data],MATCH(DA$1,Products,0),2)="Cores",IF(HostBuild[Use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1" s="59">
        <f>IFERROR(IF(FIND(DB$1,$W21)&gt;0,IF(INDEX([1]!Product_Pricing_Table[#Data],MATCH(DB$1,Products,0),2)="Cores",IF(HostBuild[Use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1" s="59">
        <f>IFERROR(IF(FIND(DC$1,$W21)&gt;0,IF(INDEX([1]!Product_Pricing_Table[#Data],MATCH(DC$1,Products,0),2)="Cores",IF(HostBuild[Use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1" s="59">
        <f>IFERROR(IF(FIND(DD$1,$W21)&gt;0,IF(INDEX([1]!Product_Pricing_Table[#Data],MATCH(DD$1,Products,0),2)="Cores",IF(HostBuild[Use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1" s="59">
        <f>IFERROR(IF(FIND(DE$1,$W21)&gt;0,IF(INDEX([1]!Product_Pricing_Table[#Data],MATCH(DE$1,Products,0),2)="Cores",IF(HostBuild[Use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1" s="60">
        <f>IFERROR(IF(FIND(DF$1,$W21)&gt;0,IF(INDEX([1]!Product_Pricing_Table[#Data],MATCH(DF$1,Products,0),2)="Cores",IF(HostBuild[Use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1" s="60">
        <f>IFERROR(IF(FIND(DG$1,$W21)&gt;0,IF(INDEX([1]!Product_Pricing_Table[#Data],MATCH(DG$1,Products,0),2)="Cores",IF(HostBuild[Use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1" s="59">
        <f>IFERROR(IF(FIND(DH$1,$W21)&gt;0,IF(INDEX([1]!Product_Pricing_Table[#Data],MATCH(DH$1,Products,0),2)="Cores",IF(HostBuild[Use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1" s="60">
        <f>IFERROR(IF(FIND(DI$1,$W21)&gt;0,IF(INDEX([1]!Product_Pricing_Table[#Data],MATCH(DI$1,Products,0),2)="Cores",IF(HostBuild[Use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1" s="59">
        <f>IFERROR(IF(FIND(DJ$1,$W21)&gt;0,IF(INDEX([1]!Product_Pricing_Table[#Data],MATCH(DJ$1,Products,0),2)="Cores",IF(HostBuild[Use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1" s="59">
        <f>IFERROR(IF(FIND(DK$1,$W21)&gt;0,IF(INDEX([1]!Product_Pricing_Table[#Data],MATCH(DK$1,Products,0),2)="Cores",IF(HostBuild[Use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1" s="59">
        <f>IFERROR(IF(FIND(DL$1,$W21)&gt;0,IF(INDEX([1]!Product_Pricing_Table[#Data],MATCH(DL$1,Products,0),2)="Cores",IF(HostBuild[Use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1" s="59">
        <f>IFERROR(IF(FIND(DM$1,$W21)&gt;0,IF(INDEX([1]!Product_Pricing_Table[#Data],MATCH(DM$1,Products,0),2)="Cores",IF(HostBuild[Use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1" s="59">
        <f>IFERROR(IF(FIND(DN$1,$W21)&gt;0,IF(INDEX([1]!Product_Pricing_Table[#Data],MATCH(DN$1,Products,0),2)="Cores",IF(HostBuild[Use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1" s="59">
        <f>IFERROR(IF(FIND(DO$1,$W21)&gt;0,IF(INDEX([1]!Product_Pricing_Table[#Data],MATCH(DO$1,Products,0),2)="Cores",IF(HostBuild[Use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1" s="59">
        <f>IFERROR(IF(FIND(DP$1,$W21)&gt;0,IF(INDEX([1]!Product_Pricing_Table[#Data],MATCH(DP$1,Products,0),2)="Cores",IF(HostBuild[Use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1" s="59">
        <f>IFERROR(IF(FIND(DQ$1,$W21)&gt;0,IF(INDEX([1]!Product_Pricing_Table[#Data],MATCH(DQ$1,Products,0),2)="Cores",IF(HostBuild[Use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1" s="59">
        <f>IFERROR(IF(FIND(DR$1,$W21)&gt;0,IF(INDEX([1]!Product_Pricing_Table[#Data],MATCH(DR$1,Products,0),2)="Cores",IF(HostBuild[Use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1" s="59">
        <f>IFERROR(IF(FIND(DS$1,$W21)&gt;0,IF(INDEX([1]!Product_Pricing_Table[#Data],MATCH(DS$1,Products,0),2)="Cores",IF(HostBuild[Use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1" s="59">
        <f>IFERROR(IF(FIND(DT$1,$W21)&gt;0,IF(INDEX([1]!Product_Pricing_Table[#Data],MATCH(DT$1,Products,0),2)="Cores",IF(HostBuild[Use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1" s="59">
        <f>IFERROR(IF(FIND(DU$1,$W21)&gt;0,IF(INDEX([1]!Product_Pricing_Table[#Data],MATCH(DU$1,Products,0),2)="Cores",IF(HostBuild[Use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1" s="59">
        <f>IFERROR(IF(FIND(DV$1,$W21)&gt;0,IF(INDEX([1]!Product_Pricing_Table[#Data],MATCH(DV$1,Products,0),2)="Cores",IF(HostBuild[Use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1" s="59">
        <f>IFERROR(IF(FIND(DW$1,$W21)&gt;0,IF(INDEX([1]!Product_Pricing_Table[#Data],MATCH(DW$1,Products,0),2)="Cores",IF(HostBuild[Use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1" s="59">
        <f>IFERROR(IF(FIND(DX$1,$W21)&gt;0,IF(INDEX([1]!Product_Pricing_Table[#Data],MATCH(DX$1,Products,0),2)="Cores",IF(HostBuild[Use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1" s="59">
        <f>IFERROR(IF(FIND(DY$1,$W21)&gt;0,IF(INDEX([1]!Product_Pricing_Table[#Data],MATCH(DY$1,Products,0),2)="Cores",IF(HostBuild[Use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1" s="59">
        <f>IFERROR(IF(FIND(DZ$1,$W21)&gt;0,IF(INDEX([1]!Product_Pricing_Table[#Data],MATCH(DZ$1,Products,0),2)="Cores",IF(HostBuild[Use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1" s="59">
        <f>IFERROR(IF(FIND(EA$1,$W21)&gt;0,IF(INDEX([1]!Product_Pricing_Table[#Data],MATCH(EA$1,Products,0),2)="Cores",IF(HostBuild[Use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1" s="59">
        <f>IFERROR(IF(FIND(EB$1,$W21)&gt;0,IF(INDEX([1]!Product_Pricing_Table[#Data],MATCH(EB$1,Products,0),2)="Cores",IF(HostBuild[Use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1" s="60">
        <f>IFERROR(IF(FIND(EC$1,$W21)&gt;0,IF(INDEX([1]!Product_Pricing_Table[#Data],MATCH(EC$1,Products,0),2)="Cores",IF(HostBuild[Use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1" s="59">
        <f>IFERROR(IF(FIND(ED$1,$W21)&gt;0,IF(INDEX([1]!Product_Pricing_Table[#Data],MATCH(ED$1,Products,0),2)="Cores",IF(HostBuild[Use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1" s="59">
        <f>IFERROR(IF(FIND(EE$1,$W21)&gt;0,IF(INDEX([1]!Product_Pricing_Table[#Data],MATCH(EE$1,Products,0),2)="Cores",IF(HostBuild[Use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1" s="59">
        <f>IFERROR(IF(FIND(EF$1,$W21)&gt;0,IF(INDEX([1]!Product_Pricing_Table[#Data],MATCH(EF$1,Products,0),2)="Cores",IF(HostBuild[Use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1" s="59">
        <f>IFERROR(IF(FIND(EG$1,$W21)&gt;0,IF(INDEX([1]!Product_Pricing_Table[#Data],MATCH(EG$1,Products,0),2)="Cores",IF(HostBuild[Use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1" s="59">
        <f>IFERROR(IF(FIND(EH$1,$W21)&gt;0,IF(INDEX([1]!Product_Pricing_Table[#Data],MATCH(EH$1,Products,0),2)="Cores",IF(HostBuild[Use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1" s="59">
        <f>IFERROR(IF(FIND(EI$1,$W21)&gt;0,IF(INDEX([1]!Product_Pricing_Table[#Data],MATCH(EI$1,Products,0),2)="Cores",IF(HostBuild[Use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1" s="59">
        <f>IFERROR(IF(FIND(EJ$1,$W21)&gt;0,IF(INDEX([1]!Product_Pricing_Table[#Data],MATCH(EJ$1,Products,0),2)="Cores",IF(HostBuild[Use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1" s="60">
        <f>IFERROR(IF(FIND(EK$1,$W21)&gt;0,IF(INDEX([1]!Product_Pricing_Table[#Data],MATCH(EK$1,Products,0),2)="Cores",IF(HostBuild[Use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1" s="61"/>
      <c r="EM21" s="62"/>
      <c r="EN21" s="63"/>
      <c r="EO21"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2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21" s="132">
        <f>(HostBuild[Archive
Full (GB)]+HostBuild[Archive
Incr (GB)])*Storage_DC_Dist_Tape_2014</f>
        <v>33.910624999999996</v>
      </c>
      <c r="ER21" s="132">
        <f>IF(ISNUMBER(HostBuild[Server HW Costs
(Monthly)]),SUM(HostBuild[[#This Row],[Server HW Costs
(Monthly)]:[Tape Costs
(Monthly)]]),0)</f>
        <v>1398.400625</v>
      </c>
      <c r="ES21" s="65">
        <f>HostBuild[Software Costs
'[Year 1']
(Monthly)]+HostBuild[Total Hardware Costs
(Monthly)]</f>
        <v>1398.400625</v>
      </c>
      <c r="ET21" s="65">
        <f>IFERROR(IF(FIND("Safenet",HostBuild[Server Model]),Safenet_PSE_PL600_Maint,0),0)+IFERROR(IF(FIND("XI52",HostBuild[Server Model]),IBM_DIA_XI52_Maint,0),0)+HostBuild[Software Costs
'[After Year 1']
(Monthly)]+HostBuild[Total Hardware Costs
(Monthly)]</f>
        <v>1398.400625</v>
      </c>
      <c r="EU21" s="66">
        <f>SUM(HostBuild[[#This Row],[Server Cost Breakdown]:[Network Cost]])</f>
        <v>1003.9</v>
      </c>
      <c r="EV21" s="67">
        <f>IF(HostBuild[Existing Server?]="Yes - Inside this BoM",0,SUMIF(HostBuild[Alias],HostBuild[Alias],HostBuild[CPU])+SUMIF(HostBuild[Alias],HostBuild[Alias],HostBuild[Existing CPUs]))</f>
        <v>2</v>
      </c>
      <c r="EW21" s="67">
        <f>IF(HostBuild[Existing Server?]="Yes - Inside this BoM",0,SUMIF(HostBuild[Alias],HostBuild[Alias],HostBuild[Cores 
(Licensed Units)])+SUMIF(HostBuild[Alias],HostBuild[Alias],HostBuild[Existing Cores]))</f>
        <v>16</v>
      </c>
      <c r="EX21" s="67">
        <f>IF(HostBuild[Existing Server?]="Yes - Inside this BoM",0,SUMIF(HostBuild[Alias],HostBuild[Alias],HostBuild[RAM 
(GB)])+SUMIF(HostBuild[Alias],HostBuild[Alias],HostBuild[Existing RAM (GB)]))</f>
        <v>256</v>
      </c>
      <c r="EY2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1" s="66">
        <f>IF(ISBLANK(HostBuild[Server Model]),0,IF(HostBuild[Server Tier]="VMware",0,VLOOKUP(HostBuild[Server Tier],[1]!ServerTierRates[#Data],2,0))*HostBuild[CPU]*IF(AND(HostBuild[Server Type]="pSeries",HostBuild[Virtual Platform Storage Type]="Cloud-SAN"),0.25,1))</f>
        <v>608</v>
      </c>
      <c r="FD21" s="66">
        <f>0</f>
        <v>0</v>
      </c>
      <c r="FE21" s="66">
        <f>IF(HostBuild[Server Type]="VMware",HostBuild[RAM 
(GB)]*IF(ISERROR(FIND("DevCloud", HostBuild[Server Model])&gt;0),vRAM_per_vCPU_2014_Monthly,vRAM_per_vCPU_2014_Daily*30),0)</f>
        <v>0</v>
      </c>
      <c r="FF2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2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1" s="69">
        <f>IF(HostBuild[Server Tier]="VMware",0,IF(LEFT(HostBuild[Existing Server?],3)="Yes",0,IF(OR(HostBuild[Server Type]="Sun",HostBuild[Server Type]="pSeries"),Support_Direct_Server_Sun_per_OS_2014,IF(HostBuild[Server Type]="x86",Support_Direct_Server_x86_Wintel_per_OS_2014,0))))</f>
        <v>187.1</v>
      </c>
      <c r="FI2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2" spans="1:165" hidden="1">
      <c r="A22" s="122" t="s">
        <v>53</v>
      </c>
      <c r="B22" s="36"/>
      <c r="C22" s="36"/>
      <c r="D22" s="36"/>
      <c r="E22" s="37"/>
      <c r="F22" s="37"/>
      <c r="G22" s="103"/>
      <c r="H22" s="103"/>
      <c r="I22" s="38"/>
      <c r="J22" s="37"/>
      <c r="K22" s="37"/>
      <c r="L22" s="37"/>
      <c r="M22" s="103" t="e">
        <f ca="1">IF(rngIsDate(HostBuild[CTO Acceptance]),"Y","N")</f>
        <v>#NAME?</v>
      </c>
      <c r="N22" s="123" t="s">
        <v>4</v>
      </c>
      <c r="O22" s="39"/>
      <c r="P22" s="39"/>
      <c r="Q22" s="123" t="s">
        <v>0</v>
      </c>
      <c r="R22" s="126" t="str">
        <f>IF(NOT(ISBLANK(HostBuild[Env Label])),IFERROR(VLOOKUP(HostBuild[Env Label],[1]!tEnv[#Data],3,FALSE),""),"")</f>
        <v/>
      </c>
      <c r="S22" s="104"/>
      <c r="T22" s="40"/>
      <c r="U22" s="105"/>
      <c r="V22" s="123" t="s">
        <v>82</v>
      </c>
      <c r="W22" s="123" t="s">
        <v>83</v>
      </c>
      <c r="X22" s="123" t="s">
        <v>57</v>
      </c>
      <c r="Y22" s="123" t="s">
        <v>58</v>
      </c>
      <c r="Z22" s="126" t="str">
        <f>IF(NOT(ISBLANK(HostBuild[[#This Row],[Product 
(Acronym)]])),CONCATENATE(HostBuild[[#This Row],[Type]],"-",HostBuild[[#This Row],[Product 
(Acronym)]]),"")</f>
        <v>AP-ESB</v>
      </c>
      <c r="AA22" s="106"/>
      <c r="AB22" s="106" t="s">
        <v>76</v>
      </c>
      <c r="AC22" s="41"/>
      <c r="AD22" s="42"/>
      <c r="AE22" s="42"/>
      <c r="AF22" s="43"/>
      <c r="AG22" s="124"/>
      <c r="AH22" s="107"/>
      <c r="AI22" s="124" t="s">
        <v>93</v>
      </c>
      <c r="AJ22" s="123">
        <f>IF(COUNTIF(HostBuild[Alias],HostBuild[Alias]),1/COUNTIF(HostBuild[Alias],HostBuild[Alias]),0)</f>
        <v>1</v>
      </c>
      <c r="AK22" s="124"/>
      <c r="AL22" s="124"/>
      <c r="AM22" s="44" t="s">
        <v>62</v>
      </c>
      <c r="AN22" s="45" t="str">
        <f>IF(NOT(ISBLANK(HostBuild[Server Model])),VLOOKUP(HostBuild[Server Model],[1]!ServerModelsTier[#Data],2,FALSE),"")</f>
        <v>x86 Tier 3</v>
      </c>
      <c r="AO22" s="45" t="str">
        <f>IF(NOT(ISBLANK(HostBuild[Server Model])),VLOOKUP(HostBuild[Server Model],[1]!ServerModelsTier[#Data],5,FALSE),"")</f>
        <v>x86</v>
      </c>
      <c r="AP22" s="44"/>
      <c r="AQ22" s="44" t="s">
        <v>63</v>
      </c>
      <c r="AR22" s="46">
        <v>2</v>
      </c>
      <c r="AS22" s="108"/>
      <c r="AT22" s="47">
        <v>16</v>
      </c>
      <c r="AU22" s="109" t="str">
        <f>IF(IFERROR(FIND("P-Series",HostBuild[Server Tier]),0),CEILING((HostBuild[Existing CPUs]+HostBuild[CPU])*16,8),"")</f>
        <v/>
      </c>
      <c r="AV22" s="48">
        <v>256</v>
      </c>
      <c r="AW22" s="124"/>
      <c r="AX22" s="124"/>
      <c r="AY22" s="124"/>
      <c r="AZ22" s="49"/>
      <c r="BA22" s="124"/>
      <c r="BB22" s="124"/>
      <c r="BC22" s="42"/>
      <c r="BD22" s="124"/>
      <c r="BE22" s="124"/>
      <c r="BF22" s="124"/>
      <c r="BG22" s="124"/>
      <c r="BH22" s="124"/>
      <c r="BI22" s="124"/>
      <c r="BJ22" s="124"/>
      <c r="BK22"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22" s="127"/>
      <c r="BM22" s="129">
        <f>IF(ISNUMBER(HostBuild[Recommended SAN (GB)]),HostBuild[Recommended SAN (GB)])+IF(HostBuild[Additional SAN (GB)]&gt;0,CEILING(HostBuild[Additional SAN (GB)],LUN),-(CEILING(-HostBuild[Additional SAN (GB)],LUN)))</f>
        <v>337</v>
      </c>
      <c r="BN22" s="128"/>
      <c r="BO22" s="129">
        <f>HostBuild[SAN (GB)
NEEDED TODAY]+CEILING(HostBuild[SAN (GB)
RESERVED
DO NOT USE TO BUILD], LUN)</f>
        <v>337</v>
      </c>
      <c r="BP22" s="130"/>
      <c r="BQ22" s="131"/>
      <c r="BR22" s="125" t="s">
        <v>64</v>
      </c>
      <c r="BS22" s="110">
        <f>IF(HostBuild[Existing Server?]&lt;&gt;"Yes - Inside this BoM",IF(ISNUMBER(HostBuild[RAM 
(GB)]),IF(HostBuild[Existing RAM (GB)]+HostBuild[RAM 
(GB)]&gt;0,IF(HostBuild[Virtual Platform Storage Type]="NAS",110+HostBuild[Existing RAM (GB)]+HostBuild[RAM 
(GB)]*1.75,0),0),0),0)</f>
        <v>0</v>
      </c>
      <c r="BT22" s="111"/>
      <c r="BU22" s="112">
        <f>IF(ISNUMBER(HostBuild[Recommended NAS (GB)]),HostBuild[Recommended NAS (GB)])+HostBuild[Additional NAS (GB)]</f>
        <v>0</v>
      </c>
      <c r="BV22" s="50"/>
      <c r="BW22" s="50"/>
      <c r="BX22" s="133">
        <f>IFERROR((HostBuild[SAN (GB)
End-State
DO NOT USE TO BUILD]+HostBuild[SAN (GB) Shared])*25%,"")</f>
        <v>84.25</v>
      </c>
      <c r="BY22" s="113">
        <f>IFERROR(HostBuild[Archive
Full (GB)]*15%,"")</f>
        <v>12.637499999999999</v>
      </c>
      <c r="BZ22" s="51"/>
      <c r="CA22" s="51"/>
      <c r="CB22" s="52"/>
      <c r="CC22" s="53"/>
      <c r="CD22" s="52"/>
      <c r="CE22" s="54"/>
      <c r="CF22" s="128"/>
      <c r="CG22" s="114"/>
      <c r="CH22" s="55"/>
      <c r="CI22" s="56"/>
      <c r="CJ22" s="57"/>
      <c r="CK22" s="58"/>
      <c r="CL22" s="59">
        <f>IFERROR(IF(FIND(CL$1,$W22)&gt;0,IF(INDEX([1]!Product_Pricing_Table[#Data],MATCH(CL$1,Products,0),2)="Cores",IF(HostBuild[Use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2" s="59">
        <f>IFERROR(IF(FIND(CM$1,$W22)&gt;0,IF(INDEX([1]!Product_Pricing_Table[#Data],MATCH(CM$1,Products,0),2)="Cores",IF(HostBuild[Use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2" s="59">
        <f>IFERROR(IF(FIND(CN$1,$W22)&gt;0,IF(INDEX([1]!Product_Pricing_Table[#Data],MATCH(CN$1,Products,0),2)="Cores",IF(HostBuild[Use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2" s="59">
        <f>IFERROR(IF(FIND(CO$1,$W22)&gt;0,IF(INDEX([1]!Product_Pricing_Table[#Data],MATCH(CO$1,Products,0),2)="Cores",IF(HostBuild[Use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2" s="59">
        <f>IFERROR(IF(FIND(CP$1,$W22)&gt;0,IF(INDEX([1]!Product_Pricing_Table[#Data],MATCH(CP$1,Products,0),2)="Cores",IF(HostBuild[Use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2" s="59">
        <f>IFERROR(IF(FIND(CQ$1,$W22)&gt;0,IF(INDEX([1]!Product_Pricing_Table[#Data],MATCH(CQ$1,Products,0),2)="Cores",IF(HostBuild[Use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2" s="59">
        <f>IFERROR(IF(FIND(CR$1,$W22)&gt;0,IF(INDEX([1]!Product_Pricing_Table[#Data],MATCH(CR$1,Products,0),2)="Cores",IF(HostBuild[Use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2" s="59">
        <f>IFERROR(IF(FIND(CS$1,$W22)&gt;0,IF(INDEX([1]!Product_Pricing_Table[#Data],MATCH(CS$1,Products,0),2)="Cores",IF(HostBuild[Use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2" s="59">
        <f>IFERROR(IF(FIND(CT$1,$W22)&gt;0,IF(INDEX([1]!Product_Pricing_Table[#Data],MATCH(CT$1,Products,0),2)="Cores",IF(HostBuild[Use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2" s="59">
        <f>IFERROR(IF(FIND(CU$1,$W22)&gt;0,IF(INDEX([1]!Product_Pricing_Table[#Data],MATCH(CU$1,Products,0),2)="Cores",IF(HostBuild[Use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2" s="59">
        <f>IFERROR(IF(FIND(CV$1,$W22)&gt;0,IF(INDEX([1]!Product_Pricing_Table[#Data],MATCH(CV$1,Products,0),2)="Cores",IF(HostBuild[Use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2" s="59">
        <f>IFERROR(IF(FIND(CW$1,$W22)&gt;0,IF(INDEX([1]!Product_Pricing_Table[#Data],MATCH(CW$1,Products,0),2)="Cores",IF(HostBuild[Use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2" s="59">
        <f>IFERROR(IF(FIND(CX$1,$W22)&gt;0,IF(INDEX([1]!Product_Pricing_Table[#Data],MATCH(CX$1,Products,0),2)="Cores",IF(HostBuild[Use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2" s="59">
        <f>IFERROR(IF(FIND(CY$1,$W22)&gt;0,IF(INDEX([1]!Product_Pricing_Table[#Data],MATCH(CY$1,Products,0),2)="Cores",IF(HostBuild[Use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2" s="59">
        <f>IFERROR(IF(FIND(CZ$1,$W22)&gt;0,IF(INDEX([1]!Product_Pricing_Table[#Data],MATCH(CZ$1,Products,0),2)="Cores",IF(HostBuild[Use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2" s="59">
        <f>IFERROR(IF(FIND(DA$1,$W22)&gt;0,IF(INDEX([1]!Product_Pricing_Table[#Data],MATCH(DA$1,Products,0),2)="Cores",IF(HostBuild[Use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2" s="59">
        <f>IFERROR(IF(FIND(DB$1,$W22)&gt;0,IF(INDEX([1]!Product_Pricing_Table[#Data],MATCH(DB$1,Products,0),2)="Cores",IF(HostBuild[Use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2" s="59">
        <f>IFERROR(IF(FIND(DC$1,$W22)&gt;0,IF(INDEX([1]!Product_Pricing_Table[#Data],MATCH(DC$1,Products,0),2)="Cores",IF(HostBuild[Use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2" s="59">
        <f>IFERROR(IF(FIND(DD$1,$W22)&gt;0,IF(INDEX([1]!Product_Pricing_Table[#Data],MATCH(DD$1,Products,0),2)="Cores",IF(HostBuild[Use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2" s="59">
        <f>IFERROR(IF(FIND(DE$1,$W22)&gt;0,IF(INDEX([1]!Product_Pricing_Table[#Data],MATCH(DE$1,Products,0),2)="Cores",IF(HostBuild[Use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2" s="60">
        <f>IFERROR(IF(FIND(DF$1,$W22)&gt;0,IF(INDEX([1]!Product_Pricing_Table[#Data],MATCH(DF$1,Products,0),2)="Cores",IF(HostBuild[Use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2" s="60">
        <f>IFERROR(IF(FIND(DG$1,$W22)&gt;0,IF(INDEX([1]!Product_Pricing_Table[#Data],MATCH(DG$1,Products,0),2)="Cores",IF(HostBuild[Use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2" s="59">
        <f>IFERROR(IF(FIND(DH$1,$W22)&gt;0,IF(INDEX([1]!Product_Pricing_Table[#Data],MATCH(DH$1,Products,0),2)="Cores",IF(HostBuild[Use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2" s="60">
        <f>IFERROR(IF(FIND(DI$1,$W22)&gt;0,IF(INDEX([1]!Product_Pricing_Table[#Data],MATCH(DI$1,Products,0),2)="Cores",IF(HostBuild[Use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2" s="59">
        <f>IFERROR(IF(FIND(DJ$1,$W22)&gt;0,IF(INDEX([1]!Product_Pricing_Table[#Data],MATCH(DJ$1,Products,0),2)="Cores",IF(HostBuild[Use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2" s="59">
        <f>IFERROR(IF(FIND(DK$1,$W22)&gt;0,IF(INDEX([1]!Product_Pricing_Table[#Data],MATCH(DK$1,Products,0),2)="Cores",IF(HostBuild[Use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2" s="59">
        <f>IFERROR(IF(FIND(DL$1,$W22)&gt;0,IF(INDEX([1]!Product_Pricing_Table[#Data],MATCH(DL$1,Products,0),2)="Cores",IF(HostBuild[Use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2" s="59">
        <f>IFERROR(IF(FIND(DM$1,$W22)&gt;0,IF(INDEX([1]!Product_Pricing_Table[#Data],MATCH(DM$1,Products,0),2)="Cores",IF(HostBuild[Use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2" s="59">
        <f>IFERROR(IF(FIND(DN$1,$W22)&gt;0,IF(INDEX([1]!Product_Pricing_Table[#Data],MATCH(DN$1,Products,0),2)="Cores",IF(HostBuild[Use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2" s="59">
        <f>IFERROR(IF(FIND(DO$1,$W22)&gt;0,IF(INDEX([1]!Product_Pricing_Table[#Data],MATCH(DO$1,Products,0),2)="Cores",IF(HostBuild[Use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2" s="59">
        <f>IFERROR(IF(FIND(DP$1,$W22)&gt;0,IF(INDEX([1]!Product_Pricing_Table[#Data],MATCH(DP$1,Products,0),2)="Cores",IF(HostBuild[Use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2" s="59">
        <f>IFERROR(IF(FIND(DQ$1,$W22)&gt;0,IF(INDEX([1]!Product_Pricing_Table[#Data],MATCH(DQ$1,Products,0),2)="Cores",IF(HostBuild[Use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2" s="59">
        <f>IFERROR(IF(FIND(DR$1,$W22)&gt;0,IF(INDEX([1]!Product_Pricing_Table[#Data],MATCH(DR$1,Products,0),2)="Cores",IF(HostBuild[Use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2" s="59">
        <f>IFERROR(IF(FIND(DS$1,$W22)&gt;0,IF(INDEX([1]!Product_Pricing_Table[#Data],MATCH(DS$1,Products,0),2)="Cores",IF(HostBuild[Use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2" s="59">
        <f>IFERROR(IF(FIND(DT$1,$W22)&gt;0,IF(INDEX([1]!Product_Pricing_Table[#Data],MATCH(DT$1,Products,0),2)="Cores",IF(HostBuild[Use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2" s="59">
        <f>IFERROR(IF(FIND(DU$1,$W22)&gt;0,IF(INDEX([1]!Product_Pricing_Table[#Data],MATCH(DU$1,Products,0),2)="Cores",IF(HostBuild[Use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2" s="59">
        <f>IFERROR(IF(FIND(DV$1,$W22)&gt;0,IF(INDEX([1]!Product_Pricing_Table[#Data],MATCH(DV$1,Products,0),2)="Cores",IF(HostBuild[Use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2" s="59">
        <f>IFERROR(IF(FIND(DW$1,$W22)&gt;0,IF(INDEX([1]!Product_Pricing_Table[#Data],MATCH(DW$1,Products,0),2)="Cores",IF(HostBuild[Use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2" s="59">
        <f>IFERROR(IF(FIND(DX$1,$W22)&gt;0,IF(INDEX([1]!Product_Pricing_Table[#Data],MATCH(DX$1,Products,0),2)="Cores",IF(HostBuild[Use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2" s="59">
        <f>IFERROR(IF(FIND(DY$1,$W22)&gt;0,IF(INDEX([1]!Product_Pricing_Table[#Data],MATCH(DY$1,Products,0),2)="Cores",IF(HostBuild[Use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2" s="59">
        <f>IFERROR(IF(FIND(DZ$1,$W22)&gt;0,IF(INDEX([1]!Product_Pricing_Table[#Data],MATCH(DZ$1,Products,0),2)="Cores",IF(HostBuild[Use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2" s="59">
        <f>IFERROR(IF(FIND(EA$1,$W22)&gt;0,IF(INDEX([1]!Product_Pricing_Table[#Data],MATCH(EA$1,Products,0),2)="Cores",IF(HostBuild[Use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2" s="59">
        <f>IFERROR(IF(FIND(EB$1,$W22)&gt;0,IF(INDEX([1]!Product_Pricing_Table[#Data],MATCH(EB$1,Products,0),2)="Cores",IF(HostBuild[Use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2" s="60">
        <f>IFERROR(IF(FIND(EC$1,$W22)&gt;0,IF(INDEX([1]!Product_Pricing_Table[#Data],MATCH(EC$1,Products,0),2)="Cores",IF(HostBuild[Use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2" s="59">
        <f>IFERROR(IF(FIND(ED$1,$W22)&gt;0,IF(INDEX([1]!Product_Pricing_Table[#Data],MATCH(ED$1,Products,0),2)="Cores",IF(HostBuild[Use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2" s="59">
        <f>IFERROR(IF(FIND(EE$1,$W22)&gt;0,IF(INDEX([1]!Product_Pricing_Table[#Data],MATCH(EE$1,Products,0),2)="Cores",IF(HostBuild[Use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2" s="59">
        <f>IFERROR(IF(FIND(EF$1,$W22)&gt;0,IF(INDEX([1]!Product_Pricing_Table[#Data],MATCH(EF$1,Products,0),2)="Cores",IF(HostBuild[Use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2" s="59">
        <f>IFERROR(IF(FIND(EG$1,$W22)&gt;0,IF(INDEX([1]!Product_Pricing_Table[#Data],MATCH(EG$1,Products,0),2)="Cores",IF(HostBuild[Use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2" s="59">
        <f>IFERROR(IF(FIND(EH$1,$W22)&gt;0,IF(INDEX([1]!Product_Pricing_Table[#Data],MATCH(EH$1,Products,0),2)="Cores",IF(HostBuild[Use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2" s="59">
        <f>IFERROR(IF(FIND(EI$1,$W22)&gt;0,IF(INDEX([1]!Product_Pricing_Table[#Data],MATCH(EI$1,Products,0),2)="Cores",IF(HostBuild[Use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2" s="59">
        <f>IFERROR(IF(FIND(EJ$1,$W22)&gt;0,IF(INDEX([1]!Product_Pricing_Table[#Data],MATCH(EJ$1,Products,0),2)="Cores",IF(HostBuild[Use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2" s="60">
        <f>IFERROR(IF(FIND(EK$1,$W22)&gt;0,IF(INDEX([1]!Product_Pricing_Table[#Data],MATCH(EK$1,Products,0),2)="Cores",IF(HostBuild[Use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2" s="61"/>
      <c r="EM22" s="62"/>
      <c r="EN22" s="63"/>
      <c r="EO22"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2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22" s="132">
        <f>(HostBuild[Archive
Full (GB)]+HostBuild[Archive
Incr (GB)])*Storage_DC_Dist_Tape_2014</f>
        <v>33.910624999999996</v>
      </c>
      <c r="ER22" s="132">
        <f>IF(ISNUMBER(HostBuild[Server HW Costs
(Monthly)]),SUM(HostBuild[[#This Row],[Server HW Costs
(Monthly)]:[Tape Costs
(Monthly)]]),0)</f>
        <v>1398.400625</v>
      </c>
      <c r="ES22" s="65">
        <f>HostBuild[Software Costs
'[Year 1']
(Monthly)]+HostBuild[Total Hardware Costs
(Monthly)]</f>
        <v>1398.400625</v>
      </c>
      <c r="ET22" s="65">
        <f>IFERROR(IF(FIND("Safenet",HostBuild[Server Model]),Safenet_PSE_PL600_Maint,0),0)+IFERROR(IF(FIND("XI52",HostBuild[Server Model]),IBM_DIA_XI52_Maint,0),0)+HostBuild[Software Costs
'[After Year 1']
(Monthly)]+HostBuild[Total Hardware Costs
(Monthly)]</f>
        <v>1398.400625</v>
      </c>
      <c r="EU22" s="66">
        <f>SUM(HostBuild[[#This Row],[Server Cost Breakdown]:[Network Cost]])</f>
        <v>1003.9</v>
      </c>
      <c r="EV22" s="67">
        <f>IF(HostBuild[Existing Server?]="Yes - Inside this BoM",0,SUMIF(HostBuild[Alias],HostBuild[Alias],HostBuild[CPU])+SUMIF(HostBuild[Alias],HostBuild[Alias],HostBuild[Existing CPUs]))</f>
        <v>2</v>
      </c>
      <c r="EW22" s="67">
        <f>IF(HostBuild[Existing Server?]="Yes - Inside this BoM",0,SUMIF(HostBuild[Alias],HostBuild[Alias],HostBuild[Cores 
(Licensed Units)])+SUMIF(HostBuild[Alias],HostBuild[Alias],HostBuild[Existing Cores]))</f>
        <v>16</v>
      </c>
      <c r="EX22" s="67">
        <f>IF(HostBuild[Existing Server?]="Yes - Inside this BoM",0,SUMIF(HostBuild[Alias],HostBuild[Alias],HostBuild[RAM 
(GB)])+SUMIF(HostBuild[Alias],HostBuild[Alias],HostBuild[Existing RAM (GB)]))</f>
        <v>256</v>
      </c>
      <c r="EY2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2" s="66">
        <f>IF(ISBLANK(HostBuild[Server Model]),0,IF(HostBuild[Server Tier]="VMware",0,VLOOKUP(HostBuild[Server Tier],[1]!ServerTierRates[#Data],2,0))*HostBuild[CPU]*IF(AND(HostBuild[Server Type]="pSeries",HostBuild[Virtual Platform Storage Type]="Cloud-SAN"),0.25,1))</f>
        <v>608</v>
      </c>
      <c r="FD22" s="66">
        <f>0</f>
        <v>0</v>
      </c>
      <c r="FE22" s="66">
        <f>IF(HostBuild[Server Type]="VMware",HostBuild[RAM 
(GB)]*IF(ISERROR(FIND("DevCloud", HostBuild[Server Model])&gt;0),vRAM_per_vCPU_2014_Monthly,vRAM_per_vCPU_2014_Daily*30),0)</f>
        <v>0</v>
      </c>
      <c r="FF2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2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2" s="69">
        <f>IF(HostBuild[Server Tier]="VMware",0,IF(LEFT(HostBuild[Existing Server?],3)="Yes",0,IF(OR(HostBuild[Server Type]="Sun",HostBuild[Server Type]="pSeries"),Support_Direct_Server_Sun_per_OS_2014,IF(HostBuild[Server Type]="x86",Support_Direct_Server_x86_Wintel_per_OS_2014,0))))</f>
        <v>187.1</v>
      </c>
      <c r="FI2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3" spans="1:165" hidden="1">
      <c r="A23" s="122" t="s">
        <v>53</v>
      </c>
      <c r="B23" s="36"/>
      <c r="C23" s="36"/>
      <c r="D23" s="36"/>
      <c r="E23" s="37"/>
      <c r="F23" s="37"/>
      <c r="G23" s="103"/>
      <c r="H23" s="103"/>
      <c r="I23" s="38"/>
      <c r="J23" s="37"/>
      <c r="K23" s="37"/>
      <c r="L23" s="37"/>
      <c r="M23" s="103" t="e">
        <f ca="1">IF(rngIsDate(HostBuild[CTO Acceptance]),"Y","N")</f>
        <v>#NAME?</v>
      </c>
      <c r="N23" s="123" t="s">
        <v>4</v>
      </c>
      <c r="O23" s="39"/>
      <c r="P23" s="39"/>
      <c r="Q23" s="123" t="s">
        <v>0</v>
      </c>
      <c r="R23" s="126" t="str">
        <f>IF(NOT(ISBLANK(HostBuild[Env Label])),IFERROR(VLOOKUP(HostBuild[Env Label],[1]!tEnv[#Data],3,FALSE),""),"")</f>
        <v/>
      </c>
      <c r="S23" s="104"/>
      <c r="T23" s="40"/>
      <c r="U23" s="105"/>
      <c r="V23" s="123" t="s">
        <v>82</v>
      </c>
      <c r="W23" s="123" t="s">
        <v>83</v>
      </c>
      <c r="X23" s="123" t="s">
        <v>57</v>
      </c>
      <c r="Y23" s="123" t="s">
        <v>58</v>
      </c>
      <c r="Z23" s="126" t="str">
        <f>IF(NOT(ISBLANK(HostBuild[[#This Row],[Product 
(Acronym)]])),CONCATENATE(HostBuild[[#This Row],[Type]],"-",HostBuild[[#This Row],[Product 
(Acronym)]]),"")</f>
        <v>AP-ESB</v>
      </c>
      <c r="AA23" s="106"/>
      <c r="AB23" s="106" t="s">
        <v>76</v>
      </c>
      <c r="AC23" s="41"/>
      <c r="AD23" s="42"/>
      <c r="AE23" s="42"/>
      <c r="AF23" s="43"/>
      <c r="AG23" s="124"/>
      <c r="AH23" s="107"/>
      <c r="AI23" s="124" t="s">
        <v>94</v>
      </c>
      <c r="AJ23" s="123">
        <f>IF(COUNTIF(HostBuild[Alias],HostBuild[Alias]),1/COUNTIF(HostBuild[Alias],HostBuild[Alias]),0)</f>
        <v>1</v>
      </c>
      <c r="AK23" s="124"/>
      <c r="AL23" s="124"/>
      <c r="AM23" s="44" t="s">
        <v>62</v>
      </c>
      <c r="AN23" s="45" t="str">
        <f>IF(NOT(ISBLANK(HostBuild[Server Model])),VLOOKUP(HostBuild[Server Model],[1]!ServerModelsTier[#Data],2,FALSE),"")</f>
        <v>x86 Tier 3</v>
      </c>
      <c r="AO23" s="45" t="str">
        <f>IF(NOT(ISBLANK(HostBuild[Server Model])),VLOOKUP(HostBuild[Server Model],[1]!ServerModelsTier[#Data],5,FALSE),"")</f>
        <v>x86</v>
      </c>
      <c r="AP23" s="44"/>
      <c r="AQ23" s="44" t="s">
        <v>63</v>
      </c>
      <c r="AR23" s="46">
        <v>2</v>
      </c>
      <c r="AS23" s="108"/>
      <c r="AT23" s="47">
        <v>16</v>
      </c>
      <c r="AU23" s="109" t="str">
        <f>IF(IFERROR(FIND("P-Series",HostBuild[Server Tier]),0),CEILING((HostBuild[Existing CPUs]+HostBuild[CPU])*16,8),"")</f>
        <v/>
      </c>
      <c r="AV23" s="48">
        <v>256</v>
      </c>
      <c r="AW23" s="124"/>
      <c r="AX23" s="124"/>
      <c r="AY23" s="124"/>
      <c r="AZ23" s="49"/>
      <c r="BA23" s="124"/>
      <c r="BB23" s="124"/>
      <c r="BC23" s="42"/>
      <c r="BD23" s="124"/>
      <c r="BE23" s="124"/>
      <c r="BF23" s="124"/>
      <c r="BG23" s="124"/>
      <c r="BH23" s="124"/>
      <c r="BI23" s="124"/>
      <c r="BJ23" s="124"/>
      <c r="BK23"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23" s="127"/>
      <c r="BM23" s="129">
        <f>IF(ISNUMBER(HostBuild[Recommended SAN (GB)]),HostBuild[Recommended SAN (GB)])+IF(HostBuild[Additional SAN (GB)]&gt;0,CEILING(HostBuild[Additional SAN (GB)],LUN),-(CEILING(-HostBuild[Additional SAN (GB)],LUN)))</f>
        <v>337</v>
      </c>
      <c r="BN23" s="128"/>
      <c r="BO23" s="129">
        <f>HostBuild[SAN (GB)
NEEDED TODAY]+CEILING(HostBuild[SAN (GB)
RESERVED
DO NOT USE TO BUILD], LUN)</f>
        <v>337</v>
      </c>
      <c r="BP23" s="130"/>
      <c r="BQ23" s="131"/>
      <c r="BR23" s="125" t="s">
        <v>64</v>
      </c>
      <c r="BS23" s="110">
        <f>IF(HostBuild[Existing Server?]&lt;&gt;"Yes - Inside this BoM",IF(ISNUMBER(HostBuild[RAM 
(GB)]),IF(HostBuild[Existing RAM (GB)]+HostBuild[RAM 
(GB)]&gt;0,IF(HostBuild[Virtual Platform Storage Type]="NAS",110+HostBuild[Existing RAM (GB)]+HostBuild[RAM 
(GB)]*1.75,0),0),0),0)</f>
        <v>0</v>
      </c>
      <c r="BT23" s="111"/>
      <c r="BU23" s="112">
        <f>IF(ISNUMBER(HostBuild[Recommended NAS (GB)]),HostBuild[Recommended NAS (GB)])+HostBuild[Additional NAS (GB)]</f>
        <v>0</v>
      </c>
      <c r="BV23" s="50"/>
      <c r="BW23" s="50"/>
      <c r="BX23" s="133">
        <f>IFERROR((HostBuild[SAN (GB)
End-State
DO NOT USE TO BUILD]+HostBuild[SAN (GB) Shared])*25%,"")</f>
        <v>84.25</v>
      </c>
      <c r="BY23" s="113">
        <f>IFERROR(HostBuild[Archive
Full (GB)]*15%,"")</f>
        <v>12.637499999999999</v>
      </c>
      <c r="BZ23" s="51"/>
      <c r="CA23" s="51"/>
      <c r="CB23" s="52"/>
      <c r="CC23" s="53"/>
      <c r="CD23" s="52"/>
      <c r="CE23" s="54"/>
      <c r="CF23" s="128"/>
      <c r="CG23" s="114"/>
      <c r="CH23" s="55"/>
      <c r="CI23" s="56"/>
      <c r="CJ23" s="57"/>
      <c r="CK23" s="58"/>
      <c r="CL23" s="59">
        <f>IFERROR(IF(FIND(CL$1,$W23)&gt;0,IF(INDEX([1]!Product_Pricing_Table[#Data],MATCH(CL$1,Products,0),2)="Cores",IF(HostBuild[Use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3" s="59">
        <f>IFERROR(IF(FIND(CM$1,$W23)&gt;0,IF(INDEX([1]!Product_Pricing_Table[#Data],MATCH(CM$1,Products,0),2)="Cores",IF(HostBuild[Use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3" s="59">
        <f>IFERROR(IF(FIND(CN$1,$W23)&gt;0,IF(INDEX([1]!Product_Pricing_Table[#Data],MATCH(CN$1,Products,0),2)="Cores",IF(HostBuild[Use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3" s="59">
        <f>IFERROR(IF(FIND(CO$1,$W23)&gt;0,IF(INDEX([1]!Product_Pricing_Table[#Data],MATCH(CO$1,Products,0),2)="Cores",IF(HostBuild[Use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3" s="59">
        <f>IFERROR(IF(FIND(CP$1,$W23)&gt;0,IF(INDEX([1]!Product_Pricing_Table[#Data],MATCH(CP$1,Products,0),2)="Cores",IF(HostBuild[Use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3" s="59">
        <f>IFERROR(IF(FIND(CQ$1,$W23)&gt;0,IF(INDEX([1]!Product_Pricing_Table[#Data],MATCH(CQ$1,Products,0),2)="Cores",IF(HostBuild[Use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3" s="59">
        <f>IFERROR(IF(FIND(CR$1,$W23)&gt;0,IF(INDEX([1]!Product_Pricing_Table[#Data],MATCH(CR$1,Products,0),2)="Cores",IF(HostBuild[Use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3" s="59">
        <f>IFERROR(IF(FIND(CS$1,$W23)&gt;0,IF(INDEX([1]!Product_Pricing_Table[#Data],MATCH(CS$1,Products,0),2)="Cores",IF(HostBuild[Use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3" s="59">
        <f>IFERROR(IF(FIND(CT$1,$W23)&gt;0,IF(INDEX([1]!Product_Pricing_Table[#Data],MATCH(CT$1,Products,0),2)="Cores",IF(HostBuild[Use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3" s="59">
        <f>IFERROR(IF(FIND(CU$1,$W23)&gt;0,IF(INDEX([1]!Product_Pricing_Table[#Data],MATCH(CU$1,Products,0),2)="Cores",IF(HostBuild[Use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3" s="59">
        <f>IFERROR(IF(FIND(CV$1,$W23)&gt;0,IF(INDEX([1]!Product_Pricing_Table[#Data],MATCH(CV$1,Products,0),2)="Cores",IF(HostBuild[Use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3" s="59">
        <f>IFERROR(IF(FIND(CW$1,$W23)&gt;0,IF(INDEX([1]!Product_Pricing_Table[#Data],MATCH(CW$1,Products,0),2)="Cores",IF(HostBuild[Use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3" s="59">
        <f>IFERROR(IF(FIND(CX$1,$W23)&gt;0,IF(INDEX([1]!Product_Pricing_Table[#Data],MATCH(CX$1,Products,0),2)="Cores",IF(HostBuild[Use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3" s="59">
        <f>IFERROR(IF(FIND(CY$1,$W23)&gt;0,IF(INDEX([1]!Product_Pricing_Table[#Data],MATCH(CY$1,Products,0),2)="Cores",IF(HostBuild[Use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3" s="59">
        <f>IFERROR(IF(FIND(CZ$1,$W23)&gt;0,IF(INDEX([1]!Product_Pricing_Table[#Data],MATCH(CZ$1,Products,0),2)="Cores",IF(HostBuild[Use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3" s="59">
        <f>IFERROR(IF(FIND(DA$1,$W23)&gt;0,IF(INDEX([1]!Product_Pricing_Table[#Data],MATCH(DA$1,Products,0),2)="Cores",IF(HostBuild[Use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3" s="59">
        <f>IFERROR(IF(FIND(DB$1,$W23)&gt;0,IF(INDEX([1]!Product_Pricing_Table[#Data],MATCH(DB$1,Products,0),2)="Cores",IF(HostBuild[Use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3" s="59">
        <f>IFERROR(IF(FIND(DC$1,$W23)&gt;0,IF(INDEX([1]!Product_Pricing_Table[#Data],MATCH(DC$1,Products,0),2)="Cores",IF(HostBuild[Use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3" s="59">
        <f>IFERROR(IF(FIND(DD$1,$W23)&gt;0,IF(INDEX([1]!Product_Pricing_Table[#Data],MATCH(DD$1,Products,0),2)="Cores",IF(HostBuild[Use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3" s="59">
        <f>IFERROR(IF(FIND(DE$1,$W23)&gt;0,IF(INDEX([1]!Product_Pricing_Table[#Data],MATCH(DE$1,Products,0),2)="Cores",IF(HostBuild[Use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3" s="60">
        <f>IFERROR(IF(FIND(DF$1,$W23)&gt;0,IF(INDEX([1]!Product_Pricing_Table[#Data],MATCH(DF$1,Products,0),2)="Cores",IF(HostBuild[Use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3" s="60">
        <f>IFERROR(IF(FIND(DG$1,$W23)&gt;0,IF(INDEX([1]!Product_Pricing_Table[#Data],MATCH(DG$1,Products,0),2)="Cores",IF(HostBuild[Use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3" s="59">
        <f>IFERROR(IF(FIND(DH$1,$W23)&gt;0,IF(INDEX([1]!Product_Pricing_Table[#Data],MATCH(DH$1,Products,0),2)="Cores",IF(HostBuild[Use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3" s="60">
        <f>IFERROR(IF(FIND(DI$1,$W23)&gt;0,IF(INDEX([1]!Product_Pricing_Table[#Data],MATCH(DI$1,Products,0),2)="Cores",IF(HostBuild[Use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3" s="59">
        <f>IFERROR(IF(FIND(DJ$1,$W23)&gt;0,IF(INDEX([1]!Product_Pricing_Table[#Data],MATCH(DJ$1,Products,0),2)="Cores",IF(HostBuild[Use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3" s="59">
        <f>IFERROR(IF(FIND(DK$1,$W23)&gt;0,IF(INDEX([1]!Product_Pricing_Table[#Data],MATCH(DK$1,Products,0),2)="Cores",IF(HostBuild[Use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3" s="59">
        <f>IFERROR(IF(FIND(DL$1,$W23)&gt;0,IF(INDEX([1]!Product_Pricing_Table[#Data],MATCH(DL$1,Products,0),2)="Cores",IF(HostBuild[Use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3" s="59">
        <f>IFERROR(IF(FIND(DM$1,$W23)&gt;0,IF(INDEX([1]!Product_Pricing_Table[#Data],MATCH(DM$1,Products,0),2)="Cores",IF(HostBuild[Use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3" s="59">
        <f>IFERROR(IF(FIND(DN$1,$W23)&gt;0,IF(INDEX([1]!Product_Pricing_Table[#Data],MATCH(DN$1,Products,0),2)="Cores",IF(HostBuild[Use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3" s="59">
        <f>IFERROR(IF(FIND(DO$1,$W23)&gt;0,IF(INDEX([1]!Product_Pricing_Table[#Data],MATCH(DO$1,Products,0),2)="Cores",IF(HostBuild[Use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3" s="59">
        <f>IFERROR(IF(FIND(DP$1,$W23)&gt;0,IF(INDEX([1]!Product_Pricing_Table[#Data],MATCH(DP$1,Products,0),2)="Cores",IF(HostBuild[Use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3" s="59">
        <f>IFERROR(IF(FIND(DQ$1,$W23)&gt;0,IF(INDEX([1]!Product_Pricing_Table[#Data],MATCH(DQ$1,Products,0),2)="Cores",IF(HostBuild[Use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3" s="59">
        <f>IFERROR(IF(FIND(DR$1,$W23)&gt;0,IF(INDEX([1]!Product_Pricing_Table[#Data],MATCH(DR$1,Products,0),2)="Cores",IF(HostBuild[Use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3" s="59">
        <f>IFERROR(IF(FIND(DS$1,$W23)&gt;0,IF(INDEX([1]!Product_Pricing_Table[#Data],MATCH(DS$1,Products,0),2)="Cores",IF(HostBuild[Use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3" s="59">
        <f>IFERROR(IF(FIND(DT$1,$W23)&gt;0,IF(INDEX([1]!Product_Pricing_Table[#Data],MATCH(DT$1,Products,0),2)="Cores",IF(HostBuild[Use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3" s="59">
        <f>IFERROR(IF(FIND(DU$1,$W23)&gt;0,IF(INDEX([1]!Product_Pricing_Table[#Data],MATCH(DU$1,Products,0),2)="Cores",IF(HostBuild[Use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3" s="59">
        <f>IFERROR(IF(FIND(DV$1,$W23)&gt;0,IF(INDEX([1]!Product_Pricing_Table[#Data],MATCH(DV$1,Products,0),2)="Cores",IF(HostBuild[Use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3" s="59">
        <f>IFERROR(IF(FIND(DW$1,$W23)&gt;0,IF(INDEX([1]!Product_Pricing_Table[#Data],MATCH(DW$1,Products,0),2)="Cores",IF(HostBuild[Use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3" s="59">
        <f>IFERROR(IF(FIND(DX$1,$W23)&gt;0,IF(INDEX([1]!Product_Pricing_Table[#Data],MATCH(DX$1,Products,0),2)="Cores",IF(HostBuild[Use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3" s="59">
        <f>IFERROR(IF(FIND(DY$1,$W23)&gt;0,IF(INDEX([1]!Product_Pricing_Table[#Data],MATCH(DY$1,Products,0),2)="Cores",IF(HostBuild[Use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3" s="59">
        <f>IFERROR(IF(FIND(DZ$1,$W23)&gt;0,IF(INDEX([1]!Product_Pricing_Table[#Data],MATCH(DZ$1,Products,0),2)="Cores",IF(HostBuild[Use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3" s="59">
        <f>IFERROR(IF(FIND(EA$1,$W23)&gt;0,IF(INDEX([1]!Product_Pricing_Table[#Data],MATCH(EA$1,Products,0),2)="Cores",IF(HostBuild[Use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3" s="59">
        <f>IFERROR(IF(FIND(EB$1,$W23)&gt;0,IF(INDEX([1]!Product_Pricing_Table[#Data],MATCH(EB$1,Products,0),2)="Cores",IF(HostBuild[Use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3" s="60">
        <f>IFERROR(IF(FIND(EC$1,$W23)&gt;0,IF(INDEX([1]!Product_Pricing_Table[#Data],MATCH(EC$1,Products,0),2)="Cores",IF(HostBuild[Use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3" s="59">
        <f>IFERROR(IF(FIND(ED$1,$W23)&gt;0,IF(INDEX([1]!Product_Pricing_Table[#Data],MATCH(ED$1,Products,0),2)="Cores",IF(HostBuild[Use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3" s="59">
        <f>IFERROR(IF(FIND(EE$1,$W23)&gt;0,IF(INDEX([1]!Product_Pricing_Table[#Data],MATCH(EE$1,Products,0),2)="Cores",IF(HostBuild[Use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3" s="59">
        <f>IFERROR(IF(FIND(EF$1,$W23)&gt;0,IF(INDEX([1]!Product_Pricing_Table[#Data],MATCH(EF$1,Products,0),2)="Cores",IF(HostBuild[Use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3" s="59">
        <f>IFERROR(IF(FIND(EG$1,$W23)&gt;0,IF(INDEX([1]!Product_Pricing_Table[#Data],MATCH(EG$1,Products,0),2)="Cores",IF(HostBuild[Use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3" s="59">
        <f>IFERROR(IF(FIND(EH$1,$W23)&gt;0,IF(INDEX([1]!Product_Pricing_Table[#Data],MATCH(EH$1,Products,0),2)="Cores",IF(HostBuild[Use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3" s="59">
        <f>IFERROR(IF(FIND(EI$1,$W23)&gt;0,IF(INDEX([1]!Product_Pricing_Table[#Data],MATCH(EI$1,Products,0),2)="Cores",IF(HostBuild[Use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3" s="59">
        <f>IFERROR(IF(FIND(EJ$1,$W23)&gt;0,IF(INDEX([1]!Product_Pricing_Table[#Data],MATCH(EJ$1,Products,0),2)="Cores",IF(HostBuild[Use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3" s="60">
        <f>IFERROR(IF(FIND(EK$1,$W23)&gt;0,IF(INDEX([1]!Product_Pricing_Table[#Data],MATCH(EK$1,Products,0),2)="Cores",IF(HostBuild[Use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3" s="61"/>
      <c r="EM23" s="62">
        <v>3750</v>
      </c>
      <c r="EN23" s="63">
        <v>525</v>
      </c>
      <c r="EO23"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2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23" s="132">
        <f>(HostBuild[Archive
Full (GB)]+HostBuild[Archive
Incr (GB)])*Storage_DC_Dist_Tape_2014</f>
        <v>33.910624999999996</v>
      </c>
      <c r="ER23" s="132">
        <f>IF(ISNUMBER(HostBuild[Server HW Costs
(Monthly)]),SUM(HostBuild[[#This Row],[Server HW Costs
(Monthly)]:[Tape Costs
(Monthly)]]),0)</f>
        <v>1398.400625</v>
      </c>
      <c r="ES23" s="65">
        <f>HostBuild[Software Costs
'[Year 1']
(Monthly)]+HostBuild[Total Hardware Costs
(Monthly)]</f>
        <v>5148.4006250000002</v>
      </c>
      <c r="ET23" s="65">
        <f>IFERROR(IF(FIND("Safenet",HostBuild[Server Model]),Safenet_PSE_PL600_Maint,0),0)+IFERROR(IF(FIND("XI52",HostBuild[Server Model]),IBM_DIA_XI52_Maint,0),0)+HostBuild[Software Costs
'[After Year 1']
(Monthly)]+HostBuild[Total Hardware Costs
(Monthly)]</f>
        <v>1923.400625</v>
      </c>
      <c r="EU23" s="66">
        <f>SUM(HostBuild[[#This Row],[Server Cost Breakdown]:[Network Cost]])</f>
        <v>1003.9</v>
      </c>
      <c r="EV23" s="67">
        <f>IF(HostBuild[Existing Server?]="Yes - Inside this BoM",0,SUMIF(HostBuild[Alias],HostBuild[Alias],HostBuild[CPU])+SUMIF(HostBuild[Alias],HostBuild[Alias],HostBuild[Existing CPUs]))</f>
        <v>2</v>
      </c>
      <c r="EW23" s="67">
        <f>IF(HostBuild[Existing Server?]="Yes - Inside this BoM",0,SUMIF(HostBuild[Alias],HostBuild[Alias],HostBuild[Cores 
(Licensed Units)])+SUMIF(HostBuild[Alias],HostBuild[Alias],HostBuild[Existing Cores]))</f>
        <v>16</v>
      </c>
      <c r="EX23" s="67">
        <f>IF(HostBuild[Existing Server?]="Yes - Inside this BoM",0,SUMIF(HostBuild[Alias],HostBuild[Alias],HostBuild[RAM 
(GB)])+SUMIF(HostBuild[Alias],HostBuild[Alias],HostBuild[Existing RAM (GB)]))</f>
        <v>256</v>
      </c>
      <c r="EY2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3" s="66">
        <f>IF(ISBLANK(HostBuild[Server Model]),0,IF(HostBuild[Server Tier]="VMware",0,VLOOKUP(HostBuild[Server Tier],[1]!ServerTierRates[#Data],2,0))*HostBuild[CPU]*IF(AND(HostBuild[Server Type]="pSeries",HostBuild[Virtual Platform Storage Type]="Cloud-SAN"),0.25,1))</f>
        <v>608</v>
      </c>
      <c r="FD23" s="66">
        <f>0</f>
        <v>0</v>
      </c>
      <c r="FE23" s="66">
        <f>IF(HostBuild[Server Type]="VMware",HostBuild[RAM 
(GB)]*IF(ISERROR(FIND("DevCloud", HostBuild[Server Model])&gt;0),vRAM_per_vCPU_2014_Monthly,vRAM_per_vCPU_2014_Daily*30),0)</f>
        <v>0</v>
      </c>
      <c r="FF2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2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3" s="69">
        <f>IF(HostBuild[Server Tier]="VMware",0,IF(LEFT(HostBuild[Existing Server?],3)="Yes",0,IF(OR(HostBuild[Server Type]="Sun",HostBuild[Server Type]="pSeries"),Support_Direct_Server_Sun_per_OS_2014,IF(HostBuild[Server Type]="x86",Support_Direct_Server_x86_Wintel_per_OS_2014,0))))</f>
        <v>187.1</v>
      </c>
      <c r="FI2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4" spans="1:165" hidden="1">
      <c r="A24" s="122" t="s">
        <v>53</v>
      </c>
      <c r="B24" s="36"/>
      <c r="C24" s="36"/>
      <c r="D24" s="36"/>
      <c r="E24" s="37"/>
      <c r="F24" s="37"/>
      <c r="G24" s="103"/>
      <c r="H24" s="103"/>
      <c r="I24" s="38"/>
      <c r="J24" s="37"/>
      <c r="K24" s="37"/>
      <c r="L24" s="37"/>
      <c r="M24" s="103" t="e">
        <f ca="1">IF(rngIsDate(HostBuild[CTO Acceptance]),"Y","N")</f>
        <v>#NAME?</v>
      </c>
      <c r="N24" s="123" t="s">
        <v>4</v>
      </c>
      <c r="O24" s="39"/>
      <c r="P24" s="39"/>
      <c r="Q24" s="123" t="s">
        <v>0</v>
      </c>
      <c r="R24" s="126" t="str">
        <f>IF(NOT(ISBLANK(HostBuild[Env Label])),IFERROR(VLOOKUP(HostBuild[Env Label],[1]!tEnv[#Data],3,FALSE),""),"")</f>
        <v/>
      </c>
      <c r="S24" s="104"/>
      <c r="T24" s="40"/>
      <c r="U24" s="105"/>
      <c r="V24" s="123" t="s">
        <v>82</v>
      </c>
      <c r="W24" s="123" t="s">
        <v>83</v>
      </c>
      <c r="X24" s="123" t="s">
        <v>57</v>
      </c>
      <c r="Y24" s="123" t="s">
        <v>58</v>
      </c>
      <c r="Z24" s="126" t="str">
        <f>IF(NOT(ISBLANK(HostBuild[[#This Row],[Product 
(Acronym)]])),CONCATENATE(HostBuild[[#This Row],[Type]],"-",HostBuild[[#This Row],[Product 
(Acronym)]]),"")</f>
        <v>AP-ESB</v>
      </c>
      <c r="AA24" s="106"/>
      <c r="AB24" s="106" t="s">
        <v>76</v>
      </c>
      <c r="AC24" s="41"/>
      <c r="AD24" s="42"/>
      <c r="AE24" s="42"/>
      <c r="AF24" s="43"/>
      <c r="AG24" s="124"/>
      <c r="AH24" s="107"/>
      <c r="AI24" s="124" t="s">
        <v>95</v>
      </c>
      <c r="AJ24" s="123">
        <f>IF(COUNTIF(HostBuild[Alias],HostBuild[Alias]),1/COUNTIF(HostBuild[Alias],HostBuild[Alias]),0)</f>
        <v>1</v>
      </c>
      <c r="AK24" s="124"/>
      <c r="AL24" s="124"/>
      <c r="AM24" s="44" t="s">
        <v>62</v>
      </c>
      <c r="AN24" s="45" t="str">
        <f>IF(NOT(ISBLANK(HostBuild[Server Model])),VLOOKUP(HostBuild[Server Model],[1]!ServerModelsTier[#Data],2,FALSE),"")</f>
        <v>x86 Tier 3</v>
      </c>
      <c r="AO24" s="45" t="str">
        <f>IF(NOT(ISBLANK(HostBuild[Server Model])),VLOOKUP(HostBuild[Server Model],[1]!ServerModelsTier[#Data],5,FALSE),"")</f>
        <v>x86</v>
      </c>
      <c r="AP24" s="44"/>
      <c r="AQ24" s="44" t="s">
        <v>63</v>
      </c>
      <c r="AR24" s="46">
        <v>2</v>
      </c>
      <c r="AS24" s="108"/>
      <c r="AT24" s="47">
        <v>16</v>
      </c>
      <c r="AU24" s="109"/>
      <c r="AV24" s="48">
        <v>256</v>
      </c>
      <c r="AW24" s="124"/>
      <c r="AX24" s="124"/>
      <c r="AY24" s="124"/>
      <c r="AZ24" s="49"/>
      <c r="BA24" s="124"/>
      <c r="BB24" s="124"/>
      <c r="BC24" s="42"/>
      <c r="BD24" s="124"/>
      <c r="BE24" s="124"/>
      <c r="BF24" s="124"/>
      <c r="BG24" s="124"/>
      <c r="BH24" s="124"/>
      <c r="BI24" s="124"/>
      <c r="BJ24" s="124"/>
      <c r="BK24"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24" s="127"/>
      <c r="BM24" s="129">
        <f>IF(ISNUMBER(HostBuild[Recommended SAN (GB)]),HostBuild[Recommended SAN (GB)])+IF(HostBuild[Additional SAN (GB)]&gt;0,CEILING(HostBuild[Additional SAN (GB)],LUN),-(CEILING(-HostBuild[Additional SAN (GB)],LUN)))</f>
        <v>337</v>
      </c>
      <c r="BN24" s="128"/>
      <c r="BO24" s="129">
        <f>HostBuild[SAN (GB)
NEEDED TODAY]+CEILING(HostBuild[SAN (GB)
RESERVED
DO NOT USE TO BUILD], LUN)</f>
        <v>337</v>
      </c>
      <c r="BP24" s="130"/>
      <c r="BQ24" s="131"/>
      <c r="BR24" s="125" t="s">
        <v>64</v>
      </c>
      <c r="BS24" s="110">
        <f>IF(HostBuild[Existing Server?]&lt;&gt;"Yes - Inside this BoM",IF(ISNUMBER(HostBuild[RAM 
(GB)]),IF(HostBuild[Existing RAM (GB)]+HostBuild[RAM 
(GB)]&gt;0,IF(HostBuild[Virtual Platform Storage Type]="NAS",110+HostBuild[Existing RAM (GB)]+HostBuild[RAM 
(GB)]*1.75,0),0),0),0)</f>
        <v>0</v>
      </c>
      <c r="BT24" s="111"/>
      <c r="BU24" s="112">
        <f>IF(ISNUMBER(HostBuild[Recommended NAS (GB)]),HostBuild[Recommended NAS (GB)])+HostBuild[Additional NAS (GB)]</f>
        <v>0</v>
      </c>
      <c r="BV24" s="50"/>
      <c r="BW24" s="50"/>
      <c r="BX24" s="133">
        <f>IFERROR((HostBuild[SAN (GB)
End-State
DO NOT USE TO BUILD]+HostBuild[SAN (GB) Shared])*25%,"")</f>
        <v>84.25</v>
      </c>
      <c r="BY24" s="113">
        <f>IFERROR(HostBuild[Archive
Full (GB)]*15%,"")</f>
        <v>12.637499999999999</v>
      </c>
      <c r="BZ24" s="51"/>
      <c r="CA24" s="51"/>
      <c r="CB24" s="52"/>
      <c r="CC24" s="53"/>
      <c r="CD24" s="52"/>
      <c r="CE24" s="54"/>
      <c r="CF24" s="128"/>
      <c r="CG24" s="114"/>
      <c r="CH24" s="55"/>
      <c r="CI24" s="56"/>
      <c r="CJ24" s="57"/>
      <c r="CK24" s="58"/>
      <c r="CL24" s="59">
        <f>IFERROR(IF(FIND(CL$1,$W24)&gt;0,IF(INDEX([1]!Product_Pricing_Table[#Data],MATCH(CL$1,Products,0),2)="Cores",IF(HostBuild[Use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4" s="59">
        <f>IFERROR(IF(FIND(CM$1,$W24)&gt;0,IF(INDEX([1]!Product_Pricing_Table[#Data],MATCH(CM$1,Products,0),2)="Cores",IF(HostBuild[Use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4" s="59">
        <f>IFERROR(IF(FIND(CN$1,$W24)&gt;0,IF(INDEX([1]!Product_Pricing_Table[#Data],MATCH(CN$1,Products,0),2)="Cores",IF(HostBuild[Use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4" s="59">
        <f>IFERROR(IF(FIND(CO$1,$W24)&gt;0,IF(INDEX([1]!Product_Pricing_Table[#Data],MATCH(CO$1,Products,0),2)="Cores",IF(HostBuild[Use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4" s="59">
        <f>IFERROR(IF(FIND(CP$1,$W24)&gt;0,IF(INDEX([1]!Product_Pricing_Table[#Data],MATCH(CP$1,Products,0),2)="Cores",IF(HostBuild[Use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4" s="59">
        <f>IFERROR(IF(FIND(CQ$1,$W24)&gt;0,IF(INDEX([1]!Product_Pricing_Table[#Data],MATCH(CQ$1,Products,0),2)="Cores",IF(HostBuild[Use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4" s="59">
        <f>IFERROR(IF(FIND(CR$1,$W24)&gt;0,IF(INDEX([1]!Product_Pricing_Table[#Data],MATCH(CR$1,Products,0),2)="Cores",IF(HostBuild[Use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4" s="59">
        <f>IFERROR(IF(FIND(CS$1,$W24)&gt;0,IF(INDEX([1]!Product_Pricing_Table[#Data],MATCH(CS$1,Products,0),2)="Cores",IF(HostBuild[Use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4" s="59">
        <f>IFERROR(IF(FIND(CT$1,$W24)&gt;0,IF(INDEX([1]!Product_Pricing_Table[#Data],MATCH(CT$1,Products,0),2)="Cores",IF(HostBuild[Use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4" s="59">
        <f>IFERROR(IF(FIND(CU$1,$W24)&gt;0,IF(INDEX([1]!Product_Pricing_Table[#Data],MATCH(CU$1,Products,0),2)="Cores",IF(HostBuild[Use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4" s="59">
        <f>IFERROR(IF(FIND(CV$1,$W24)&gt;0,IF(INDEX([1]!Product_Pricing_Table[#Data],MATCH(CV$1,Products,0),2)="Cores",IF(HostBuild[Use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4" s="59">
        <f>IFERROR(IF(FIND(CW$1,$W24)&gt;0,IF(INDEX([1]!Product_Pricing_Table[#Data],MATCH(CW$1,Products,0),2)="Cores",IF(HostBuild[Use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4" s="59">
        <f>IFERROR(IF(FIND(CX$1,$W24)&gt;0,IF(INDEX([1]!Product_Pricing_Table[#Data],MATCH(CX$1,Products,0),2)="Cores",IF(HostBuild[Use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4" s="59">
        <f>IFERROR(IF(FIND(CY$1,$W24)&gt;0,IF(INDEX([1]!Product_Pricing_Table[#Data],MATCH(CY$1,Products,0),2)="Cores",IF(HostBuild[Use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4" s="59">
        <f>IFERROR(IF(FIND(CZ$1,$W24)&gt;0,IF(INDEX([1]!Product_Pricing_Table[#Data],MATCH(CZ$1,Products,0),2)="Cores",IF(HostBuild[Use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4" s="59">
        <f>IFERROR(IF(FIND(DA$1,$W24)&gt;0,IF(INDEX([1]!Product_Pricing_Table[#Data],MATCH(DA$1,Products,0),2)="Cores",IF(HostBuild[Use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4" s="59">
        <f>IFERROR(IF(FIND(DB$1,$W24)&gt;0,IF(INDEX([1]!Product_Pricing_Table[#Data],MATCH(DB$1,Products,0),2)="Cores",IF(HostBuild[Use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4" s="59">
        <f>IFERROR(IF(FIND(DC$1,$W24)&gt;0,IF(INDEX([1]!Product_Pricing_Table[#Data],MATCH(DC$1,Products,0),2)="Cores",IF(HostBuild[Use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4" s="59">
        <f>IFERROR(IF(FIND(DD$1,$W24)&gt;0,IF(INDEX([1]!Product_Pricing_Table[#Data],MATCH(DD$1,Products,0),2)="Cores",IF(HostBuild[Use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4" s="59">
        <f>IFERROR(IF(FIND(DE$1,$W24)&gt;0,IF(INDEX([1]!Product_Pricing_Table[#Data],MATCH(DE$1,Products,0),2)="Cores",IF(HostBuild[Use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4" s="60">
        <f>IFERROR(IF(FIND(DF$1,$W24)&gt;0,IF(INDEX([1]!Product_Pricing_Table[#Data],MATCH(DF$1,Products,0),2)="Cores",IF(HostBuild[Use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4" s="60">
        <f>IFERROR(IF(FIND(DG$1,$W24)&gt;0,IF(INDEX([1]!Product_Pricing_Table[#Data],MATCH(DG$1,Products,0),2)="Cores",IF(HostBuild[Use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4" s="59">
        <f>IFERROR(IF(FIND(DH$1,$W24)&gt;0,IF(INDEX([1]!Product_Pricing_Table[#Data],MATCH(DH$1,Products,0),2)="Cores",IF(HostBuild[Use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4" s="60">
        <f>IFERROR(IF(FIND(DI$1,$W24)&gt;0,IF(INDEX([1]!Product_Pricing_Table[#Data],MATCH(DI$1,Products,0),2)="Cores",IF(HostBuild[Use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4" s="59">
        <f>IFERROR(IF(FIND(DJ$1,$W24)&gt;0,IF(INDEX([1]!Product_Pricing_Table[#Data],MATCH(DJ$1,Products,0),2)="Cores",IF(HostBuild[Use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4" s="59">
        <f>IFERROR(IF(FIND(DK$1,$W24)&gt;0,IF(INDEX([1]!Product_Pricing_Table[#Data],MATCH(DK$1,Products,0),2)="Cores",IF(HostBuild[Use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4" s="59">
        <f>IFERROR(IF(FIND(DL$1,$W24)&gt;0,IF(INDEX([1]!Product_Pricing_Table[#Data],MATCH(DL$1,Products,0),2)="Cores",IF(HostBuild[Use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4" s="59">
        <f>IFERROR(IF(FIND(DM$1,$W24)&gt;0,IF(INDEX([1]!Product_Pricing_Table[#Data],MATCH(DM$1,Products,0),2)="Cores",IF(HostBuild[Use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4" s="59">
        <f>IFERROR(IF(FIND(DN$1,$W24)&gt;0,IF(INDEX([1]!Product_Pricing_Table[#Data],MATCH(DN$1,Products,0),2)="Cores",IF(HostBuild[Use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4" s="59">
        <f>IFERROR(IF(FIND(DO$1,$W24)&gt;0,IF(INDEX([1]!Product_Pricing_Table[#Data],MATCH(DO$1,Products,0),2)="Cores",IF(HostBuild[Use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4" s="59">
        <f>IFERROR(IF(FIND(DP$1,$W24)&gt;0,IF(INDEX([1]!Product_Pricing_Table[#Data],MATCH(DP$1,Products,0),2)="Cores",IF(HostBuild[Use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4" s="59">
        <f>IFERROR(IF(FIND(DQ$1,$W24)&gt;0,IF(INDEX([1]!Product_Pricing_Table[#Data],MATCH(DQ$1,Products,0),2)="Cores",IF(HostBuild[Use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4" s="59">
        <f>IFERROR(IF(FIND(DR$1,$W24)&gt;0,IF(INDEX([1]!Product_Pricing_Table[#Data],MATCH(DR$1,Products,0),2)="Cores",IF(HostBuild[Use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4" s="59">
        <f>IFERROR(IF(FIND(DS$1,$W24)&gt;0,IF(INDEX([1]!Product_Pricing_Table[#Data],MATCH(DS$1,Products,0),2)="Cores",IF(HostBuild[Use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4" s="59">
        <f>IFERROR(IF(FIND(DT$1,$W24)&gt;0,IF(INDEX([1]!Product_Pricing_Table[#Data],MATCH(DT$1,Products,0),2)="Cores",IF(HostBuild[Use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4" s="59">
        <f>IFERROR(IF(FIND(DU$1,$W24)&gt;0,IF(INDEX([1]!Product_Pricing_Table[#Data],MATCH(DU$1,Products,0),2)="Cores",IF(HostBuild[Use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4" s="59">
        <f>IFERROR(IF(FIND(DV$1,$W24)&gt;0,IF(INDEX([1]!Product_Pricing_Table[#Data],MATCH(DV$1,Products,0),2)="Cores",IF(HostBuild[Use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4" s="59">
        <f>IFERROR(IF(FIND(DW$1,$W24)&gt;0,IF(INDEX([1]!Product_Pricing_Table[#Data],MATCH(DW$1,Products,0),2)="Cores",IF(HostBuild[Use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4" s="59">
        <f>IFERROR(IF(FIND(DX$1,$W24)&gt;0,IF(INDEX([1]!Product_Pricing_Table[#Data],MATCH(DX$1,Products,0),2)="Cores",IF(HostBuild[Use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4" s="59">
        <f>IFERROR(IF(FIND(DY$1,$W24)&gt;0,IF(INDEX([1]!Product_Pricing_Table[#Data],MATCH(DY$1,Products,0),2)="Cores",IF(HostBuild[Use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4" s="59">
        <f>IFERROR(IF(FIND(DZ$1,$W24)&gt;0,IF(INDEX([1]!Product_Pricing_Table[#Data],MATCH(DZ$1,Products,0),2)="Cores",IF(HostBuild[Use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4" s="59">
        <f>IFERROR(IF(FIND(EA$1,$W24)&gt;0,IF(INDEX([1]!Product_Pricing_Table[#Data],MATCH(EA$1,Products,0),2)="Cores",IF(HostBuild[Use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4" s="59">
        <f>IFERROR(IF(FIND(EB$1,$W24)&gt;0,IF(INDEX([1]!Product_Pricing_Table[#Data],MATCH(EB$1,Products,0),2)="Cores",IF(HostBuild[Use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4" s="60">
        <f>IFERROR(IF(FIND(EC$1,$W24)&gt;0,IF(INDEX([1]!Product_Pricing_Table[#Data],MATCH(EC$1,Products,0),2)="Cores",IF(HostBuild[Use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4" s="59">
        <f>IFERROR(IF(FIND(ED$1,$W24)&gt;0,IF(INDEX([1]!Product_Pricing_Table[#Data],MATCH(ED$1,Products,0),2)="Cores",IF(HostBuild[Use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4" s="59">
        <f>IFERROR(IF(FIND(EE$1,$W24)&gt;0,IF(INDEX([1]!Product_Pricing_Table[#Data],MATCH(EE$1,Products,0),2)="Cores",IF(HostBuild[Use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4" s="59">
        <f>IFERROR(IF(FIND(EF$1,$W24)&gt;0,IF(INDEX([1]!Product_Pricing_Table[#Data],MATCH(EF$1,Products,0),2)="Cores",IF(HostBuild[Use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4" s="59">
        <f>IFERROR(IF(FIND(EG$1,$W24)&gt;0,IF(INDEX([1]!Product_Pricing_Table[#Data],MATCH(EG$1,Products,0),2)="Cores",IF(HostBuild[Use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4" s="59">
        <f>IFERROR(IF(FIND(EH$1,$W24)&gt;0,IF(INDEX([1]!Product_Pricing_Table[#Data],MATCH(EH$1,Products,0),2)="Cores",IF(HostBuild[Use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4" s="59">
        <f>IFERROR(IF(FIND(EI$1,$W24)&gt;0,IF(INDEX([1]!Product_Pricing_Table[#Data],MATCH(EI$1,Products,0),2)="Cores",IF(HostBuild[Use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4" s="59">
        <f>IFERROR(IF(FIND(EJ$1,$W24)&gt;0,IF(INDEX([1]!Product_Pricing_Table[#Data],MATCH(EJ$1,Products,0),2)="Cores",IF(HostBuild[Use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4" s="60">
        <f>IFERROR(IF(FIND(EK$1,$W24)&gt;0,IF(INDEX([1]!Product_Pricing_Table[#Data],MATCH(EK$1,Products,0),2)="Cores",IF(HostBuild[Use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4" s="61"/>
      <c r="EM24" s="62"/>
      <c r="EN24" s="63"/>
      <c r="EO24"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2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24" s="132">
        <f>(HostBuild[Archive
Full (GB)]+HostBuild[Archive
Incr (GB)])*Storage_DC_Dist_Tape_2014</f>
        <v>33.910624999999996</v>
      </c>
      <c r="ER24" s="132">
        <f>IF(ISNUMBER(HostBuild[Server HW Costs
(Monthly)]),SUM(HostBuild[[#This Row],[Server HW Costs
(Monthly)]:[Tape Costs
(Monthly)]]),0)</f>
        <v>1398.400625</v>
      </c>
      <c r="ES24" s="65">
        <f>HostBuild[Software Costs
'[Year 1']
(Monthly)]+HostBuild[Total Hardware Costs
(Monthly)]</f>
        <v>1398.400625</v>
      </c>
      <c r="ET24" s="65">
        <f>IFERROR(IF(FIND("Safenet",HostBuild[Server Model]),Safenet_PSE_PL600_Maint,0),0)+IFERROR(IF(FIND("XI52",HostBuild[Server Model]),IBM_DIA_XI52_Maint,0),0)+HostBuild[Software Costs
'[After Year 1']
(Monthly)]+HostBuild[Total Hardware Costs
(Monthly)]</f>
        <v>1398.400625</v>
      </c>
      <c r="EU24" s="66">
        <f>SUM(HostBuild[[#This Row],[Server Cost Breakdown]:[Network Cost]])</f>
        <v>1003.9</v>
      </c>
      <c r="EV24" s="67">
        <f>IF(HostBuild[Existing Server?]="Yes - Inside this BoM",0,SUMIF(HostBuild[Alias],HostBuild[Alias],HostBuild[CPU])+SUMIF(HostBuild[Alias],HostBuild[Alias],HostBuild[Existing CPUs]))</f>
        <v>2</v>
      </c>
      <c r="EW24" s="67">
        <f>IF(HostBuild[Existing Server?]="Yes - Inside this BoM",0,SUMIF(HostBuild[Alias],HostBuild[Alias],HostBuild[Cores 
(Licensed Units)])+SUMIF(HostBuild[Alias],HostBuild[Alias],HostBuild[Existing Cores]))</f>
        <v>16</v>
      </c>
      <c r="EX24" s="67">
        <f>IF(HostBuild[Existing Server?]="Yes - Inside this BoM",0,SUMIF(HostBuild[Alias],HostBuild[Alias],HostBuild[RAM 
(GB)])+SUMIF(HostBuild[Alias],HostBuild[Alias],HostBuild[Existing RAM (GB)]))</f>
        <v>256</v>
      </c>
      <c r="EY2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4" s="66">
        <f>IF(ISBLANK(HostBuild[Server Model]),0,IF(HostBuild[Server Tier]="VMware",0,VLOOKUP(HostBuild[Server Tier],[1]!ServerTierRates[#Data],2,0))*HostBuild[CPU]*IF(AND(HostBuild[Server Type]="pSeries",HostBuild[Virtual Platform Storage Type]="Cloud-SAN"),0.25,1))</f>
        <v>608</v>
      </c>
      <c r="FD24" s="66">
        <f>0</f>
        <v>0</v>
      </c>
      <c r="FE24" s="66">
        <f>IF(HostBuild[Server Type]="VMware",HostBuild[RAM 
(GB)]*IF(ISERROR(FIND("DevCloud", HostBuild[Server Model])&gt;0),vRAM_per_vCPU_2014_Monthly,vRAM_per_vCPU_2014_Daily*30),0)</f>
        <v>0</v>
      </c>
      <c r="FF2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2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4" s="69">
        <f>IF(HostBuild[Server Tier]="VMware",0,IF(LEFT(HostBuild[Existing Server?],3)="Yes",0,IF(OR(HostBuild[Server Type]="Sun",HostBuild[Server Type]="pSeries"),Support_Direct_Server_Sun_per_OS_2014,IF(HostBuild[Server Type]="x86",Support_Direct_Server_x86_Wintel_per_OS_2014,0))))</f>
        <v>187.1</v>
      </c>
      <c r="FI2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5" spans="1:165" hidden="1">
      <c r="A25" s="122" t="s">
        <v>53</v>
      </c>
      <c r="B25" s="36"/>
      <c r="C25" s="36"/>
      <c r="D25" s="36"/>
      <c r="E25" s="37"/>
      <c r="F25" s="37"/>
      <c r="G25" s="103"/>
      <c r="H25" s="103"/>
      <c r="I25" s="38"/>
      <c r="J25" s="37"/>
      <c r="K25" s="37"/>
      <c r="L25" s="37"/>
      <c r="M25" s="103" t="e">
        <f ca="1">IF(rngIsDate(HostBuild[CTO Acceptance]),"Y","N")</f>
        <v>#NAME?</v>
      </c>
      <c r="N25" s="123" t="s">
        <v>4</v>
      </c>
      <c r="O25" s="39"/>
      <c r="P25" s="39"/>
      <c r="Q25" s="123" t="s">
        <v>0</v>
      </c>
      <c r="R25" s="126" t="str">
        <f>IF(NOT(ISBLANK(HostBuild[Env Label])),IFERROR(VLOOKUP(HostBuild[Env Label],[1]!tEnv[#Data],3,FALSE),""),"")</f>
        <v/>
      </c>
      <c r="S25" s="104"/>
      <c r="T25" s="40"/>
      <c r="U25" s="105"/>
      <c r="V25" s="123" t="s">
        <v>82</v>
      </c>
      <c r="W25" s="123" t="s">
        <v>83</v>
      </c>
      <c r="X25" s="123" t="s">
        <v>57</v>
      </c>
      <c r="Y25" s="123" t="s">
        <v>58</v>
      </c>
      <c r="Z25" s="126" t="str">
        <f>IF(NOT(ISBLANK(HostBuild[[#This Row],[Product 
(Acronym)]])),CONCATENATE(HostBuild[[#This Row],[Type]],"-",HostBuild[[#This Row],[Product 
(Acronym)]]),"")</f>
        <v>AP-ESB</v>
      </c>
      <c r="AA25" s="106"/>
      <c r="AB25" s="106" t="s">
        <v>76</v>
      </c>
      <c r="AC25" s="41"/>
      <c r="AD25" s="42"/>
      <c r="AE25" s="42"/>
      <c r="AF25" s="43"/>
      <c r="AG25" s="124"/>
      <c r="AH25" s="107"/>
      <c r="AI25" s="124" t="s">
        <v>96</v>
      </c>
      <c r="AJ25" s="123">
        <f>IF(COUNTIF(HostBuild[Alias],HostBuild[Alias]),1/COUNTIF(HostBuild[Alias],HostBuild[Alias]),0)</f>
        <v>1</v>
      </c>
      <c r="AK25" s="124"/>
      <c r="AL25" s="124"/>
      <c r="AM25" s="44" t="s">
        <v>62</v>
      </c>
      <c r="AN25" s="45" t="str">
        <f>IF(NOT(ISBLANK(HostBuild[Server Model])),VLOOKUP(HostBuild[Server Model],[1]!ServerModelsTier[#Data],2,FALSE),"")</f>
        <v>x86 Tier 3</v>
      </c>
      <c r="AO25" s="45" t="str">
        <f>IF(NOT(ISBLANK(HostBuild[Server Model])),VLOOKUP(HostBuild[Server Model],[1]!ServerModelsTier[#Data],5,FALSE),"")</f>
        <v>x86</v>
      </c>
      <c r="AP25" s="44"/>
      <c r="AQ25" s="44" t="s">
        <v>63</v>
      </c>
      <c r="AR25" s="46">
        <v>2</v>
      </c>
      <c r="AS25" s="108"/>
      <c r="AT25" s="47">
        <v>16</v>
      </c>
      <c r="AU25" s="109"/>
      <c r="AV25" s="48">
        <v>256</v>
      </c>
      <c r="AW25" s="124"/>
      <c r="AX25" s="124"/>
      <c r="AY25" s="124"/>
      <c r="AZ25" s="49"/>
      <c r="BA25" s="124"/>
      <c r="BB25" s="124"/>
      <c r="BC25" s="42"/>
      <c r="BD25" s="124"/>
      <c r="BE25" s="124"/>
      <c r="BF25" s="124"/>
      <c r="BG25" s="124"/>
      <c r="BH25" s="124"/>
      <c r="BI25" s="124"/>
      <c r="BJ25" s="124"/>
      <c r="BK25"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25" s="127"/>
      <c r="BM25" s="129">
        <f>IF(ISNUMBER(HostBuild[Recommended SAN (GB)]),HostBuild[Recommended SAN (GB)])+IF(HostBuild[Additional SAN (GB)]&gt;0,CEILING(HostBuild[Additional SAN (GB)],LUN),-(CEILING(-HostBuild[Additional SAN (GB)],LUN)))</f>
        <v>337</v>
      </c>
      <c r="BN25" s="128"/>
      <c r="BO25" s="129">
        <f>HostBuild[SAN (GB)
NEEDED TODAY]+CEILING(HostBuild[SAN (GB)
RESERVED
DO NOT USE TO BUILD], LUN)</f>
        <v>337</v>
      </c>
      <c r="BP25" s="130"/>
      <c r="BQ25" s="131"/>
      <c r="BR25" s="125" t="s">
        <v>64</v>
      </c>
      <c r="BS25" s="110">
        <f>IF(HostBuild[Existing Server?]&lt;&gt;"Yes - Inside this BoM",IF(ISNUMBER(HostBuild[RAM 
(GB)]),IF(HostBuild[Existing RAM (GB)]+HostBuild[RAM 
(GB)]&gt;0,IF(HostBuild[Virtual Platform Storage Type]="NAS",110+HostBuild[Existing RAM (GB)]+HostBuild[RAM 
(GB)]*1.75,0),0),0),0)</f>
        <v>0</v>
      </c>
      <c r="BT25" s="111"/>
      <c r="BU25" s="112">
        <f>IF(ISNUMBER(HostBuild[Recommended NAS (GB)]),HostBuild[Recommended NAS (GB)])+HostBuild[Additional NAS (GB)]</f>
        <v>0</v>
      </c>
      <c r="BV25" s="50"/>
      <c r="BW25" s="50"/>
      <c r="BX25" s="133">
        <f>IFERROR((HostBuild[SAN (GB)
End-State
DO NOT USE TO BUILD]+HostBuild[SAN (GB) Shared])*25%,"")</f>
        <v>84.25</v>
      </c>
      <c r="BY25" s="113">
        <f>IFERROR(HostBuild[Archive
Full (GB)]*15%,"")</f>
        <v>12.637499999999999</v>
      </c>
      <c r="BZ25" s="51"/>
      <c r="CA25" s="51"/>
      <c r="CB25" s="52"/>
      <c r="CC25" s="53"/>
      <c r="CD25" s="52"/>
      <c r="CE25" s="54"/>
      <c r="CF25" s="128"/>
      <c r="CG25" s="114"/>
      <c r="CH25" s="55"/>
      <c r="CI25" s="56"/>
      <c r="CJ25" s="57"/>
      <c r="CK25" s="58"/>
      <c r="CL25" s="59">
        <f>IFERROR(IF(FIND(CL$1,$W25)&gt;0,IF(INDEX([1]!Product_Pricing_Table[#Data],MATCH(CL$1,Products,0),2)="Cores",IF(HostBuild[Use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5" s="59">
        <f>IFERROR(IF(FIND(CM$1,$W25)&gt;0,IF(INDEX([1]!Product_Pricing_Table[#Data],MATCH(CM$1,Products,0),2)="Cores",IF(HostBuild[Use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5" s="59">
        <f>IFERROR(IF(FIND(CN$1,$W25)&gt;0,IF(INDEX([1]!Product_Pricing_Table[#Data],MATCH(CN$1,Products,0),2)="Cores",IF(HostBuild[Use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5" s="59">
        <f>IFERROR(IF(FIND(CO$1,$W25)&gt;0,IF(INDEX([1]!Product_Pricing_Table[#Data],MATCH(CO$1,Products,0),2)="Cores",IF(HostBuild[Use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5" s="59">
        <f>IFERROR(IF(FIND(CP$1,$W25)&gt;0,IF(INDEX([1]!Product_Pricing_Table[#Data],MATCH(CP$1,Products,0),2)="Cores",IF(HostBuild[Use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5" s="59">
        <f>IFERROR(IF(FIND(CQ$1,$W25)&gt;0,IF(INDEX([1]!Product_Pricing_Table[#Data],MATCH(CQ$1,Products,0),2)="Cores",IF(HostBuild[Use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5" s="59">
        <f>IFERROR(IF(FIND(CR$1,$W25)&gt;0,IF(INDEX([1]!Product_Pricing_Table[#Data],MATCH(CR$1,Products,0),2)="Cores",IF(HostBuild[Use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5" s="59">
        <f>IFERROR(IF(FIND(CS$1,$W25)&gt;0,IF(INDEX([1]!Product_Pricing_Table[#Data],MATCH(CS$1,Products,0),2)="Cores",IF(HostBuild[Use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5" s="59">
        <f>IFERROR(IF(FIND(CT$1,$W25)&gt;0,IF(INDEX([1]!Product_Pricing_Table[#Data],MATCH(CT$1,Products,0),2)="Cores",IF(HostBuild[Use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5" s="59">
        <f>IFERROR(IF(FIND(CU$1,$W25)&gt;0,IF(INDEX([1]!Product_Pricing_Table[#Data],MATCH(CU$1,Products,0),2)="Cores",IF(HostBuild[Use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5" s="59">
        <f>IFERROR(IF(FIND(CV$1,$W25)&gt;0,IF(INDEX([1]!Product_Pricing_Table[#Data],MATCH(CV$1,Products,0),2)="Cores",IF(HostBuild[Use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5" s="59">
        <f>IFERROR(IF(FIND(CW$1,$W25)&gt;0,IF(INDEX([1]!Product_Pricing_Table[#Data],MATCH(CW$1,Products,0),2)="Cores",IF(HostBuild[Use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5" s="59">
        <f>IFERROR(IF(FIND(CX$1,$W25)&gt;0,IF(INDEX([1]!Product_Pricing_Table[#Data],MATCH(CX$1,Products,0),2)="Cores",IF(HostBuild[Use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5" s="59">
        <f>IFERROR(IF(FIND(CY$1,$W25)&gt;0,IF(INDEX([1]!Product_Pricing_Table[#Data],MATCH(CY$1,Products,0),2)="Cores",IF(HostBuild[Use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5" s="59">
        <f>IFERROR(IF(FIND(CZ$1,$W25)&gt;0,IF(INDEX([1]!Product_Pricing_Table[#Data],MATCH(CZ$1,Products,0),2)="Cores",IF(HostBuild[Use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5" s="59">
        <f>IFERROR(IF(FIND(DA$1,$W25)&gt;0,IF(INDEX([1]!Product_Pricing_Table[#Data],MATCH(DA$1,Products,0),2)="Cores",IF(HostBuild[Use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5" s="59">
        <f>IFERROR(IF(FIND(DB$1,$W25)&gt;0,IF(INDEX([1]!Product_Pricing_Table[#Data],MATCH(DB$1,Products,0),2)="Cores",IF(HostBuild[Use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5" s="59">
        <f>IFERROR(IF(FIND(DC$1,$W25)&gt;0,IF(INDEX([1]!Product_Pricing_Table[#Data],MATCH(DC$1,Products,0),2)="Cores",IF(HostBuild[Use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5" s="59">
        <f>IFERROR(IF(FIND(DD$1,$W25)&gt;0,IF(INDEX([1]!Product_Pricing_Table[#Data],MATCH(DD$1,Products,0),2)="Cores",IF(HostBuild[Use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5" s="59">
        <f>IFERROR(IF(FIND(DE$1,$W25)&gt;0,IF(INDEX([1]!Product_Pricing_Table[#Data],MATCH(DE$1,Products,0),2)="Cores",IF(HostBuild[Use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5" s="60">
        <f>IFERROR(IF(FIND(DF$1,$W25)&gt;0,IF(INDEX([1]!Product_Pricing_Table[#Data],MATCH(DF$1,Products,0),2)="Cores",IF(HostBuild[Use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5" s="60">
        <f>IFERROR(IF(FIND(DG$1,$W25)&gt;0,IF(INDEX([1]!Product_Pricing_Table[#Data],MATCH(DG$1,Products,0),2)="Cores",IF(HostBuild[Use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5" s="59">
        <f>IFERROR(IF(FIND(DH$1,$W25)&gt;0,IF(INDEX([1]!Product_Pricing_Table[#Data],MATCH(DH$1,Products,0),2)="Cores",IF(HostBuild[Use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5" s="60">
        <f>IFERROR(IF(FIND(DI$1,$W25)&gt;0,IF(INDEX([1]!Product_Pricing_Table[#Data],MATCH(DI$1,Products,0),2)="Cores",IF(HostBuild[Use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5" s="59">
        <f>IFERROR(IF(FIND(DJ$1,$W25)&gt;0,IF(INDEX([1]!Product_Pricing_Table[#Data],MATCH(DJ$1,Products,0),2)="Cores",IF(HostBuild[Use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5" s="59">
        <f>IFERROR(IF(FIND(DK$1,$W25)&gt;0,IF(INDEX([1]!Product_Pricing_Table[#Data],MATCH(DK$1,Products,0),2)="Cores",IF(HostBuild[Use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5" s="59">
        <f>IFERROR(IF(FIND(DL$1,$W25)&gt;0,IF(INDEX([1]!Product_Pricing_Table[#Data],MATCH(DL$1,Products,0),2)="Cores",IF(HostBuild[Use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5" s="59">
        <f>IFERROR(IF(FIND(DM$1,$W25)&gt;0,IF(INDEX([1]!Product_Pricing_Table[#Data],MATCH(DM$1,Products,0),2)="Cores",IF(HostBuild[Use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5" s="59">
        <f>IFERROR(IF(FIND(DN$1,$W25)&gt;0,IF(INDEX([1]!Product_Pricing_Table[#Data],MATCH(DN$1,Products,0),2)="Cores",IF(HostBuild[Use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5" s="59">
        <f>IFERROR(IF(FIND(DO$1,$W25)&gt;0,IF(INDEX([1]!Product_Pricing_Table[#Data],MATCH(DO$1,Products,0),2)="Cores",IF(HostBuild[Use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5" s="59">
        <f>IFERROR(IF(FIND(DP$1,$W25)&gt;0,IF(INDEX([1]!Product_Pricing_Table[#Data],MATCH(DP$1,Products,0),2)="Cores",IF(HostBuild[Use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5" s="59">
        <f>IFERROR(IF(FIND(DQ$1,$W25)&gt;0,IF(INDEX([1]!Product_Pricing_Table[#Data],MATCH(DQ$1,Products,0),2)="Cores",IF(HostBuild[Use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5" s="59">
        <f>IFERROR(IF(FIND(DR$1,$W25)&gt;0,IF(INDEX([1]!Product_Pricing_Table[#Data],MATCH(DR$1,Products,0),2)="Cores",IF(HostBuild[Use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5" s="59">
        <f>IFERROR(IF(FIND(DS$1,$W25)&gt;0,IF(INDEX([1]!Product_Pricing_Table[#Data],MATCH(DS$1,Products,0),2)="Cores",IF(HostBuild[Use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5" s="59">
        <f>IFERROR(IF(FIND(DT$1,$W25)&gt;0,IF(INDEX([1]!Product_Pricing_Table[#Data],MATCH(DT$1,Products,0),2)="Cores",IF(HostBuild[Use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5" s="59">
        <f>IFERROR(IF(FIND(DU$1,$W25)&gt;0,IF(INDEX([1]!Product_Pricing_Table[#Data],MATCH(DU$1,Products,0),2)="Cores",IF(HostBuild[Use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5" s="59">
        <f>IFERROR(IF(FIND(DV$1,$W25)&gt;0,IF(INDEX([1]!Product_Pricing_Table[#Data],MATCH(DV$1,Products,0),2)="Cores",IF(HostBuild[Use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5" s="59">
        <f>IFERROR(IF(FIND(DW$1,$W25)&gt;0,IF(INDEX([1]!Product_Pricing_Table[#Data],MATCH(DW$1,Products,0),2)="Cores",IF(HostBuild[Use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5" s="59">
        <f>IFERROR(IF(FIND(DX$1,$W25)&gt;0,IF(INDEX([1]!Product_Pricing_Table[#Data],MATCH(DX$1,Products,0),2)="Cores",IF(HostBuild[Use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5" s="59">
        <f>IFERROR(IF(FIND(DY$1,$W25)&gt;0,IF(INDEX([1]!Product_Pricing_Table[#Data],MATCH(DY$1,Products,0),2)="Cores",IF(HostBuild[Use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5" s="59">
        <f>IFERROR(IF(FIND(DZ$1,$W25)&gt;0,IF(INDEX([1]!Product_Pricing_Table[#Data],MATCH(DZ$1,Products,0),2)="Cores",IF(HostBuild[Use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5" s="59">
        <f>IFERROR(IF(FIND(EA$1,$W25)&gt;0,IF(INDEX([1]!Product_Pricing_Table[#Data],MATCH(EA$1,Products,0),2)="Cores",IF(HostBuild[Use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5" s="59">
        <f>IFERROR(IF(FIND(EB$1,$W25)&gt;0,IF(INDEX([1]!Product_Pricing_Table[#Data],MATCH(EB$1,Products,0),2)="Cores",IF(HostBuild[Use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5" s="60">
        <f>IFERROR(IF(FIND(EC$1,$W25)&gt;0,IF(INDEX([1]!Product_Pricing_Table[#Data],MATCH(EC$1,Products,0),2)="Cores",IF(HostBuild[Use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5" s="59">
        <f>IFERROR(IF(FIND(ED$1,$W25)&gt;0,IF(INDEX([1]!Product_Pricing_Table[#Data],MATCH(ED$1,Products,0),2)="Cores",IF(HostBuild[Use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5" s="59">
        <f>IFERROR(IF(FIND(EE$1,$W25)&gt;0,IF(INDEX([1]!Product_Pricing_Table[#Data],MATCH(EE$1,Products,0),2)="Cores",IF(HostBuild[Use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5" s="59">
        <f>IFERROR(IF(FIND(EF$1,$W25)&gt;0,IF(INDEX([1]!Product_Pricing_Table[#Data],MATCH(EF$1,Products,0),2)="Cores",IF(HostBuild[Use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5" s="59">
        <f>IFERROR(IF(FIND(EG$1,$W25)&gt;0,IF(INDEX([1]!Product_Pricing_Table[#Data],MATCH(EG$1,Products,0),2)="Cores",IF(HostBuild[Use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5" s="59">
        <f>IFERROR(IF(FIND(EH$1,$W25)&gt;0,IF(INDEX([1]!Product_Pricing_Table[#Data],MATCH(EH$1,Products,0),2)="Cores",IF(HostBuild[Use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5" s="59">
        <f>IFERROR(IF(FIND(EI$1,$W25)&gt;0,IF(INDEX([1]!Product_Pricing_Table[#Data],MATCH(EI$1,Products,0),2)="Cores",IF(HostBuild[Use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5" s="59">
        <f>IFERROR(IF(FIND(EJ$1,$W25)&gt;0,IF(INDEX([1]!Product_Pricing_Table[#Data],MATCH(EJ$1,Products,0),2)="Cores",IF(HostBuild[Use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5" s="60">
        <f>IFERROR(IF(FIND(EK$1,$W25)&gt;0,IF(INDEX([1]!Product_Pricing_Table[#Data],MATCH(EK$1,Products,0),2)="Cores",IF(HostBuild[Use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5" s="61"/>
      <c r="EM25" s="62"/>
      <c r="EN25" s="63"/>
      <c r="EO25"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2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360.59000000000003</v>
      </c>
      <c r="EQ25" s="132">
        <f>(HostBuild[Archive
Full (GB)]+HostBuild[Archive
Incr (GB)])*Storage_DC_Dist_Tape_2014</f>
        <v>33.910624999999996</v>
      </c>
      <c r="ER25" s="132">
        <f>IF(ISNUMBER(HostBuild[Server HW Costs
(Monthly)]),SUM(HostBuild[[#This Row],[Server HW Costs
(Monthly)]:[Tape Costs
(Monthly)]]),0)</f>
        <v>1398.400625</v>
      </c>
      <c r="ES25" s="65">
        <f>HostBuild[Software Costs
'[Year 1']
(Monthly)]+HostBuild[Total Hardware Costs
(Monthly)]</f>
        <v>1398.400625</v>
      </c>
      <c r="ET25" s="65">
        <f>IFERROR(IF(FIND("Safenet",HostBuild[Server Model]),Safenet_PSE_PL600_Maint,0),0)+IFERROR(IF(FIND("XI52",HostBuild[Server Model]),IBM_DIA_XI52_Maint,0),0)+HostBuild[Software Costs
'[After Year 1']
(Monthly)]+HostBuild[Total Hardware Costs
(Monthly)]</f>
        <v>1398.400625</v>
      </c>
      <c r="EU25" s="66">
        <f>SUM(HostBuild[[#This Row],[Server Cost Breakdown]:[Network Cost]])</f>
        <v>1003.9</v>
      </c>
      <c r="EV25" s="67">
        <f>IF(HostBuild[Existing Server?]="Yes - Inside this BoM",0,SUMIF(HostBuild[Alias],HostBuild[Alias],HostBuild[CPU])+SUMIF(HostBuild[Alias],HostBuild[Alias],HostBuild[Existing CPUs]))</f>
        <v>2</v>
      </c>
      <c r="EW25" s="67">
        <f>IF(HostBuild[Existing Server?]="Yes - Inside this BoM",0,SUMIF(HostBuild[Alias],HostBuild[Alias],HostBuild[Cores 
(Licensed Units)])+SUMIF(HostBuild[Alias],HostBuild[Alias],HostBuild[Existing Cores]))</f>
        <v>16</v>
      </c>
      <c r="EX25" s="67">
        <f>IF(HostBuild[Existing Server?]="Yes - Inside this BoM",0,SUMIF(HostBuild[Alias],HostBuild[Alias],HostBuild[RAM 
(GB)])+SUMIF(HostBuild[Alias],HostBuild[Alias],HostBuild[Existing RAM (GB)]))</f>
        <v>256</v>
      </c>
      <c r="EY2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5" s="66">
        <f>IF(ISBLANK(HostBuild[Server Model]),0,IF(HostBuild[Server Tier]="VMware",0,VLOOKUP(HostBuild[Server Tier],[1]!ServerTierRates[#Data],2,0))*HostBuild[CPU]*IF(AND(HostBuild[Server Type]="pSeries",HostBuild[Virtual Platform Storage Type]="Cloud-SAN"),0.25,1))</f>
        <v>608</v>
      </c>
      <c r="FD25" s="66">
        <f>0</f>
        <v>0</v>
      </c>
      <c r="FE25" s="66">
        <f>IF(HostBuild[Server Type]="VMware",HostBuild[RAM 
(GB)]*IF(ISERROR(FIND("DevCloud", HostBuild[Server Model])&gt;0),vRAM_per_vCPU_2014_Monthly,vRAM_per_vCPU_2014_Daily*30),0)</f>
        <v>0</v>
      </c>
      <c r="FF2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2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5" s="69">
        <f>IF(HostBuild[Server Tier]="VMware",0,IF(LEFT(HostBuild[Existing Server?],3)="Yes",0,IF(OR(HostBuild[Server Type]="Sun",HostBuild[Server Type]="pSeries"),Support_Direct_Server_Sun_per_OS_2014,IF(HostBuild[Server Type]="x86",Support_Direct_Server_x86_Wintel_per_OS_2014,0))))</f>
        <v>187.1</v>
      </c>
      <c r="FI2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6" spans="1:165" hidden="1">
      <c r="A26" s="122" t="s">
        <v>53</v>
      </c>
      <c r="B26" s="36"/>
      <c r="C26" s="36"/>
      <c r="D26" s="36"/>
      <c r="E26" s="37"/>
      <c r="F26" s="37"/>
      <c r="G26" s="103"/>
      <c r="H26" s="103"/>
      <c r="I26" s="38"/>
      <c r="J26" s="37"/>
      <c r="K26" s="37"/>
      <c r="L26" s="37"/>
      <c r="M26" s="103" t="e">
        <f ca="1">IF(rngIsDate(HostBuild[CTO Acceptance]),"Y","N")</f>
        <v>#NAME?</v>
      </c>
      <c r="N26" s="123" t="s">
        <v>4</v>
      </c>
      <c r="O26" s="39"/>
      <c r="P26" s="39"/>
      <c r="Q26" s="123" t="s">
        <v>0</v>
      </c>
      <c r="R26" s="126" t="str">
        <f>IF(NOT(ISBLANK(HostBuild[Env Label])),IFERROR(VLOOKUP(HostBuild[Env Label],[1]!tEnv[#Data],3,FALSE),""),"")</f>
        <v/>
      </c>
      <c r="S26" s="104"/>
      <c r="T26" s="40"/>
      <c r="U26" s="105"/>
      <c r="V26" s="123" t="s">
        <v>97</v>
      </c>
      <c r="W26" s="123" t="s">
        <v>98</v>
      </c>
      <c r="X26" s="123" t="s">
        <v>99</v>
      </c>
      <c r="Y26" s="123" t="s">
        <v>58</v>
      </c>
      <c r="Z26" s="126" t="str">
        <f>IF(NOT(ISBLANK(HostBuild[[#This Row],[Product 
(Acronym)]])),CONCATENATE(HostBuild[[#This Row],[Type]],"-",HostBuild[[#This Row],[Product 
(Acronym)]]),"")</f>
        <v>DB-ESB</v>
      </c>
      <c r="AA26" s="106"/>
      <c r="AB26" s="106" t="s">
        <v>59</v>
      </c>
      <c r="AC26" s="41"/>
      <c r="AD26" s="42"/>
      <c r="AE26" s="42"/>
      <c r="AF26" s="43" t="s">
        <v>60</v>
      </c>
      <c r="AG26" s="124"/>
      <c r="AH26" s="107"/>
      <c r="AI26" s="124" t="s">
        <v>100</v>
      </c>
      <c r="AJ26" s="123">
        <f>IF(COUNTIF(HostBuild[Alias],HostBuild[Alias]),1/COUNTIF(HostBuild[Alias],HostBuild[Alias]),0)</f>
        <v>1</v>
      </c>
      <c r="AK26" s="124"/>
      <c r="AL26" s="124"/>
      <c r="AM26" s="44" t="s">
        <v>101</v>
      </c>
      <c r="AN26" s="45" t="str">
        <f>IF(NOT(ISBLANK(HostBuild[Server Model])),VLOOKUP(HostBuild[Server Model],[1]!ServerModelsTier[#Data],2,FALSE),"")</f>
        <v>IBM P-Series Tier 2</v>
      </c>
      <c r="AO26" s="45" t="str">
        <f>IF(NOT(ISBLANK(HostBuild[Server Model])),VLOOKUP(HostBuild[Server Model],[1]!ServerModelsTier[#Data],5,FALSE),"")</f>
        <v>pSeries</v>
      </c>
      <c r="AP26" s="44"/>
      <c r="AQ26" s="44" t="s">
        <v>102</v>
      </c>
      <c r="AR26" s="46"/>
      <c r="AS26" s="108"/>
      <c r="AT26" s="47"/>
      <c r="AU26" s="109"/>
      <c r="AV26" s="48"/>
      <c r="AW26" s="124"/>
      <c r="AX26" s="124"/>
      <c r="AY26" s="124"/>
      <c r="AZ26" s="49"/>
      <c r="BA26" s="124"/>
      <c r="BB26" s="124"/>
      <c r="BC26" s="42"/>
      <c r="BD26" s="124"/>
      <c r="BE26" s="124"/>
      <c r="BF26" s="124"/>
      <c r="BG26" s="124"/>
      <c r="BH26" s="124"/>
      <c r="BI26" s="124"/>
      <c r="BJ26" s="124"/>
      <c r="BK26"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26" s="127">
        <v>100</v>
      </c>
      <c r="BM26" s="129">
        <f>IF(ISNUMBER(HostBuild[Recommended SAN (GB)]),HostBuild[Recommended SAN (GB)])+IF(HostBuild[Additional SAN (GB)]&gt;0,CEILING(HostBuild[Additional SAN (GB)],LUN),-(CEILING(-HostBuild[Additional SAN (GB)],LUN)))</f>
        <v>101.10000000000001</v>
      </c>
      <c r="BN26" s="128"/>
      <c r="BO26" s="129">
        <f>HostBuild[SAN (GB)
NEEDED TODAY]+CEILING(HostBuild[SAN (GB)
RESERVED
DO NOT USE TO BUILD], LUN)</f>
        <v>101.10000000000001</v>
      </c>
      <c r="BP26" s="130">
        <v>100</v>
      </c>
      <c r="BQ26" s="131"/>
      <c r="BR26" s="125" t="s">
        <v>64</v>
      </c>
      <c r="BS26" s="110">
        <f>IF(HostBuild[Existing Server?]&lt;&gt;"Yes - Inside this BoM",IF(ISNUMBER(HostBuild[RAM 
(GB)]),IF(HostBuild[Existing RAM (GB)]+HostBuild[RAM 
(GB)]&gt;0,IF(HostBuild[Virtual Platform Storage Type]="NAS",110+HostBuild[Existing RAM (GB)]+HostBuild[RAM 
(GB)]*1.75,0),0),0),0)</f>
        <v>0</v>
      </c>
      <c r="BT26" s="111"/>
      <c r="BU26" s="112">
        <f>IF(ISNUMBER(HostBuild[Recommended NAS (GB)]),HostBuild[Recommended NAS (GB)])+HostBuild[Additional NAS (GB)]</f>
        <v>0</v>
      </c>
      <c r="BV26" s="50"/>
      <c r="BW26" s="50"/>
      <c r="BX26" s="133">
        <f>IFERROR((HostBuild[SAN (GB)
End-State
DO NOT USE TO BUILD]+HostBuild[SAN (GB) Shared])*25%,"")</f>
        <v>50.275000000000006</v>
      </c>
      <c r="BY26" s="113">
        <f>IFERROR(HostBuild[Archive
Full (GB)]*15%,"")</f>
        <v>7.5412500000000007</v>
      </c>
      <c r="BZ26" s="51"/>
      <c r="CA26" s="51"/>
      <c r="CB26" s="52"/>
      <c r="CC26" s="53"/>
      <c r="CD26" s="52"/>
      <c r="CE26" s="54"/>
      <c r="CF26" s="128"/>
      <c r="CG26" s="114"/>
      <c r="CH26" s="55"/>
      <c r="CI26" s="56"/>
      <c r="CJ26" s="57"/>
      <c r="CK26" s="58"/>
      <c r="CL26" s="59">
        <f>IFERROR(IF(FIND(CL$1,$W26)&gt;0,IF(INDEX([1]!Product_Pricing_Table[#Data],MATCH(CL$1,Products,0),2)="Cores",IF(HostBuild[Use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6" s="59">
        <f>IFERROR(IF(FIND(CM$1,$W26)&gt;0,IF(INDEX([1]!Product_Pricing_Table[#Data],MATCH(CM$1,Products,0),2)="Cores",IF(HostBuild[Use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6" s="59">
        <f>IFERROR(IF(FIND(CN$1,$W26)&gt;0,IF(INDEX([1]!Product_Pricing_Table[#Data],MATCH(CN$1,Products,0),2)="Cores",IF(HostBuild[Use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6" s="59">
        <f>IFERROR(IF(FIND(CO$1,$W26)&gt;0,IF(INDEX([1]!Product_Pricing_Table[#Data],MATCH(CO$1,Products,0),2)="Cores",IF(HostBuild[Use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6" s="59">
        <f>IFERROR(IF(FIND(CP$1,$W26)&gt;0,IF(INDEX([1]!Product_Pricing_Table[#Data],MATCH(CP$1,Products,0),2)="Cores",IF(HostBuild[Use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6" s="59">
        <f>IFERROR(IF(FIND(CQ$1,$W26)&gt;0,IF(INDEX([1]!Product_Pricing_Table[#Data],MATCH(CQ$1,Products,0),2)="Cores",IF(HostBuild[Use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6" s="59">
        <f>IFERROR(IF(FIND(CR$1,$W26)&gt;0,IF(INDEX([1]!Product_Pricing_Table[#Data],MATCH(CR$1,Products,0),2)="Cores",IF(HostBuild[Use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6" s="59">
        <f>IFERROR(IF(FIND(CS$1,$W26)&gt;0,IF(INDEX([1]!Product_Pricing_Table[#Data],MATCH(CS$1,Products,0),2)="Cores",IF(HostBuild[Use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6" s="59">
        <f>IFERROR(IF(FIND(CT$1,$W26)&gt;0,IF(INDEX([1]!Product_Pricing_Table[#Data],MATCH(CT$1,Products,0),2)="Cores",IF(HostBuild[Use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6" s="59">
        <f>IFERROR(IF(FIND(CU$1,$W26)&gt;0,IF(INDEX([1]!Product_Pricing_Table[#Data],MATCH(CU$1,Products,0),2)="Cores",IF(HostBuild[Use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6" s="59">
        <f>IFERROR(IF(FIND(CV$1,$W26)&gt;0,IF(INDEX([1]!Product_Pricing_Table[#Data],MATCH(CV$1,Products,0),2)="Cores",IF(HostBuild[Use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6" s="59">
        <f>IFERROR(IF(FIND(CW$1,$W26)&gt;0,IF(INDEX([1]!Product_Pricing_Table[#Data],MATCH(CW$1,Products,0),2)="Cores",IF(HostBuild[Use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6" s="59">
        <f>IFERROR(IF(FIND(CX$1,$W26)&gt;0,IF(INDEX([1]!Product_Pricing_Table[#Data],MATCH(CX$1,Products,0),2)="Cores",IF(HostBuild[Use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6" s="59">
        <f>IFERROR(IF(FIND(CY$1,$W26)&gt;0,IF(INDEX([1]!Product_Pricing_Table[#Data],MATCH(CY$1,Products,0),2)="Cores",IF(HostBuild[Use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6" s="59">
        <f>IFERROR(IF(FIND(CZ$1,$W26)&gt;0,IF(INDEX([1]!Product_Pricing_Table[#Data],MATCH(CZ$1,Products,0),2)="Cores",IF(HostBuild[Use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6" s="59">
        <f>IFERROR(IF(FIND(DA$1,$W26)&gt;0,IF(INDEX([1]!Product_Pricing_Table[#Data],MATCH(DA$1,Products,0),2)="Cores",IF(HostBuild[Use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6" s="59">
        <f>IFERROR(IF(FIND(DB$1,$W26)&gt;0,IF(INDEX([1]!Product_Pricing_Table[#Data],MATCH(DB$1,Products,0),2)="Cores",IF(HostBuild[Use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6" s="59">
        <f>IFERROR(IF(FIND(DC$1,$W26)&gt;0,IF(INDEX([1]!Product_Pricing_Table[#Data],MATCH(DC$1,Products,0),2)="Cores",IF(HostBuild[Use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6" s="59">
        <f>IFERROR(IF(FIND(DD$1,$W26)&gt;0,IF(INDEX([1]!Product_Pricing_Table[#Data],MATCH(DD$1,Products,0),2)="Cores",IF(HostBuild[Use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6" s="59">
        <f>IFERROR(IF(FIND(DE$1,$W26)&gt;0,IF(INDEX([1]!Product_Pricing_Table[#Data],MATCH(DE$1,Products,0),2)="Cores",IF(HostBuild[Use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6" s="60">
        <f>IFERROR(IF(FIND(DF$1,$W26)&gt;0,IF(INDEX([1]!Product_Pricing_Table[#Data],MATCH(DF$1,Products,0),2)="Cores",IF(HostBuild[Use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6" s="60">
        <f>IFERROR(IF(FIND(DG$1,$W26)&gt;0,IF(INDEX([1]!Product_Pricing_Table[#Data],MATCH(DG$1,Products,0),2)="Cores",IF(HostBuild[Use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6" s="59">
        <f>IFERROR(IF(FIND(DH$1,$W26)&gt;0,IF(INDEX([1]!Product_Pricing_Table[#Data],MATCH(DH$1,Products,0),2)="Cores",IF(HostBuild[Use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6" s="60">
        <f>IFERROR(IF(FIND(DI$1,$W26)&gt;0,IF(INDEX([1]!Product_Pricing_Table[#Data],MATCH(DI$1,Products,0),2)="Cores",IF(HostBuild[Use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6" s="59">
        <f>IFERROR(IF(FIND(DJ$1,$W26)&gt;0,IF(INDEX([1]!Product_Pricing_Table[#Data],MATCH(DJ$1,Products,0),2)="Cores",IF(HostBuild[Use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6" s="59">
        <f>IFERROR(IF(FIND(DK$1,$W26)&gt;0,IF(INDEX([1]!Product_Pricing_Table[#Data],MATCH(DK$1,Products,0),2)="Cores",IF(HostBuild[Use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6" s="59">
        <f>IFERROR(IF(FIND(DL$1,$W26)&gt;0,IF(INDEX([1]!Product_Pricing_Table[#Data],MATCH(DL$1,Products,0),2)="Cores",IF(HostBuild[Use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6" s="59">
        <f>IFERROR(IF(FIND(DM$1,$W26)&gt;0,IF(INDEX([1]!Product_Pricing_Table[#Data],MATCH(DM$1,Products,0),2)="Cores",IF(HostBuild[Use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6" s="59">
        <f>IFERROR(IF(FIND(DN$1,$W26)&gt;0,IF(INDEX([1]!Product_Pricing_Table[#Data],MATCH(DN$1,Products,0),2)="Cores",IF(HostBuild[Use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6" s="59">
        <f>IFERROR(IF(FIND(DO$1,$W26)&gt;0,IF(INDEX([1]!Product_Pricing_Table[#Data],MATCH(DO$1,Products,0),2)="Cores",IF(HostBuild[Use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6" s="59">
        <f>IFERROR(IF(FIND(DP$1,$W26)&gt;0,IF(INDEX([1]!Product_Pricing_Table[#Data],MATCH(DP$1,Products,0),2)="Cores",IF(HostBuild[Use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6" s="59">
        <f>IFERROR(IF(FIND(DQ$1,$W26)&gt;0,IF(INDEX([1]!Product_Pricing_Table[#Data],MATCH(DQ$1,Products,0),2)="Cores",IF(HostBuild[Use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6" s="59">
        <f>IFERROR(IF(FIND(DR$1,$W26)&gt;0,IF(INDEX([1]!Product_Pricing_Table[#Data],MATCH(DR$1,Products,0),2)="Cores",IF(HostBuild[Use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6" s="59">
        <f>IFERROR(IF(FIND(DS$1,$W26)&gt;0,IF(INDEX([1]!Product_Pricing_Table[#Data],MATCH(DS$1,Products,0),2)="Cores",IF(HostBuild[Use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6" s="59">
        <f>IFERROR(IF(FIND(DT$1,$W26)&gt;0,IF(INDEX([1]!Product_Pricing_Table[#Data],MATCH(DT$1,Products,0),2)="Cores",IF(HostBuild[Use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6" s="59">
        <f>IFERROR(IF(FIND(DU$1,$W26)&gt;0,IF(INDEX([1]!Product_Pricing_Table[#Data],MATCH(DU$1,Products,0),2)="Cores",IF(HostBuild[Use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6" s="59">
        <f>IFERROR(IF(FIND(DV$1,$W26)&gt;0,IF(INDEX([1]!Product_Pricing_Table[#Data],MATCH(DV$1,Products,0),2)="Cores",IF(HostBuild[Use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6" s="59">
        <f>IFERROR(IF(FIND(DW$1,$W26)&gt;0,IF(INDEX([1]!Product_Pricing_Table[#Data],MATCH(DW$1,Products,0),2)="Cores",IF(HostBuild[Use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6" s="59">
        <f>IFERROR(IF(FIND(DX$1,$W26)&gt;0,IF(INDEX([1]!Product_Pricing_Table[#Data],MATCH(DX$1,Products,0),2)="Cores",IF(HostBuild[Use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6" s="59">
        <f>IFERROR(IF(FIND(DY$1,$W26)&gt;0,IF(INDEX([1]!Product_Pricing_Table[#Data],MATCH(DY$1,Products,0),2)="Cores",IF(HostBuild[Use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6" s="59">
        <f>IFERROR(IF(FIND(DZ$1,$W26)&gt;0,IF(INDEX([1]!Product_Pricing_Table[#Data],MATCH(DZ$1,Products,0),2)="Cores",IF(HostBuild[Use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6" s="59">
        <f>IFERROR(IF(FIND(EA$1,$W26)&gt;0,IF(INDEX([1]!Product_Pricing_Table[#Data],MATCH(EA$1,Products,0),2)="Cores",IF(HostBuild[Use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6" s="59">
        <f>IFERROR(IF(FIND(EB$1,$W26)&gt;0,IF(INDEX([1]!Product_Pricing_Table[#Data],MATCH(EB$1,Products,0),2)="Cores",IF(HostBuild[Use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6" s="60">
        <f>IFERROR(IF(FIND(EC$1,$W26)&gt;0,IF(INDEX([1]!Product_Pricing_Table[#Data],MATCH(EC$1,Products,0),2)="Cores",IF(HostBuild[Use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6" s="59">
        <f>IFERROR(IF(FIND(ED$1,$W26)&gt;0,IF(INDEX([1]!Product_Pricing_Table[#Data],MATCH(ED$1,Products,0),2)="Cores",IF(HostBuild[Use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6" s="59">
        <f>IFERROR(IF(FIND(EE$1,$W26)&gt;0,IF(INDEX([1]!Product_Pricing_Table[#Data],MATCH(EE$1,Products,0),2)="Cores",IF(HostBuild[Use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6" s="59">
        <f>IFERROR(IF(FIND(EF$1,$W26)&gt;0,IF(INDEX([1]!Product_Pricing_Table[#Data],MATCH(EF$1,Products,0),2)="Cores",IF(HostBuild[Use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6" s="59">
        <f>IFERROR(IF(FIND(EG$1,$W26)&gt;0,IF(INDEX([1]!Product_Pricing_Table[#Data],MATCH(EG$1,Products,0),2)="Cores",IF(HostBuild[Use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6" s="59">
        <f>IFERROR(IF(FIND(EH$1,$W26)&gt;0,IF(INDEX([1]!Product_Pricing_Table[#Data],MATCH(EH$1,Products,0),2)="Cores",IF(HostBuild[Use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6" s="59">
        <f>IFERROR(IF(FIND(EI$1,$W26)&gt;0,IF(INDEX([1]!Product_Pricing_Table[#Data],MATCH(EI$1,Products,0),2)="Cores",IF(HostBuild[Use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6" s="59">
        <f>IFERROR(IF(FIND(EJ$1,$W26)&gt;0,IF(INDEX([1]!Product_Pricing_Table[#Data],MATCH(EJ$1,Products,0),2)="Cores",IF(HostBuild[Use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6" s="60">
        <f>IFERROR(IF(FIND(EK$1,$W26)&gt;0,IF(INDEX([1]!Product_Pricing_Table[#Data],MATCH(EK$1,Products,0),2)="Cores",IF(HostBuild[Use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6" s="61"/>
      <c r="EM26" s="62">
        <v>0</v>
      </c>
      <c r="EN26" s="63">
        <v>0</v>
      </c>
      <c r="EO26"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2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271.95900000000006</v>
      </c>
      <c r="EQ26" s="132">
        <f>(HostBuild[Archive
Full (GB)]+HostBuild[Archive
Incr (GB)])*Storage_DC_Dist_Tape_2014</f>
        <v>20.235687500000001</v>
      </c>
      <c r="ER26" s="132">
        <f>IF(ISNUMBER(HostBuild[Server HW Costs
(Monthly)]),SUM(HostBuild[[#This Row],[Server HW Costs
(Monthly)]:[Tape Costs
(Monthly)]]),0)</f>
        <v>292.19468750000004</v>
      </c>
      <c r="ES26" s="65">
        <f>HostBuild[Software Costs
'[Year 1']
(Monthly)]+HostBuild[Total Hardware Costs
(Monthly)]</f>
        <v>292.19468750000004</v>
      </c>
      <c r="ET26" s="65">
        <f>IFERROR(IF(FIND("Safenet",HostBuild[Server Model]),Safenet_PSE_PL600_Maint,0),0)+IFERROR(IF(FIND("XI52",HostBuild[Server Model]),IBM_DIA_XI52_Maint,0),0)+HostBuild[Software Costs
'[After Year 1']
(Monthly)]+HostBuild[Total Hardware Costs
(Monthly)]</f>
        <v>292.19468750000004</v>
      </c>
      <c r="EU26" s="66">
        <f>SUM(HostBuild[[#This Row],[Server Cost Breakdown]:[Network Cost]])</f>
        <v>0</v>
      </c>
      <c r="EV26" s="67">
        <f>IF(HostBuild[Existing Server?]="Yes - Inside this BoM",0,SUMIF(HostBuild[Alias],HostBuild[Alias],HostBuild[CPU])+SUMIF(HostBuild[Alias],HostBuild[Alias],HostBuild[Existing CPUs]))</f>
        <v>0</v>
      </c>
      <c r="EW26" s="67">
        <f>IF(HostBuild[Existing Server?]="Yes - Inside this BoM",0,SUMIF(HostBuild[Alias],HostBuild[Alias],HostBuild[Cores 
(Licensed Units)])+SUMIF(HostBuild[Alias],HostBuild[Alias],HostBuild[Existing Cores]))</f>
        <v>0</v>
      </c>
      <c r="EX26" s="67">
        <f>IF(HostBuild[Existing Server?]="Yes - Inside this BoM",0,SUMIF(HostBuild[Alias],HostBuild[Alias],HostBuild[RAM 
(GB)])+SUMIF(HostBuild[Alias],HostBuild[Alias],HostBuild[Existing RAM (GB)]))</f>
        <v>0</v>
      </c>
      <c r="EY2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6" s="66">
        <f>IF(ISBLANK(HostBuild[Server Model]),0,IF(HostBuild[Server Tier]="VMware",0,VLOOKUP(HostBuild[Server Tier],[1]!ServerTierRates[#Data],2,0))*HostBuild[CPU]*IF(AND(HostBuild[Server Type]="pSeries",HostBuild[Virtual Platform Storage Type]="Cloud-SAN"),0.25,1))</f>
        <v>0</v>
      </c>
      <c r="FD26" s="66">
        <f>0</f>
        <v>0</v>
      </c>
      <c r="FE26" s="66">
        <f>IF(HostBuild[Server Type]="VMware",HostBuild[RAM 
(GB)]*IF(ISERROR(FIND("DevCloud", HostBuild[Server Model])&gt;0),vRAM_per_vCPU_2014_Monthly,vRAM_per_vCPU_2014_Daily*30),0)</f>
        <v>0</v>
      </c>
      <c r="FF2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2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6" s="69">
        <f>IF(HostBuild[Server Tier]="VMware",0,IF(LEFT(HostBuild[Existing Server?],3)="Yes",0,IF(OR(HostBuild[Server Type]="Sun",HostBuild[Server Type]="pSeries"),Support_Direct_Server_Sun_per_OS_2014,IF(HostBuild[Server Type]="x86",Support_Direct_Server_x86_Wintel_per_OS_2014,0))))</f>
        <v>0</v>
      </c>
      <c r="FI2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7" spans="1:165" hidden="1">
      <c r="A27" s="122" t="s">
        <v>53</v>
      </c>
      <c r="B27" s="36"/>
      <c r="C27" s="36"/>
      <c r="D27" s="36"/>
      <c r="E27" s="37"/>
      <c r="F27" s="37"/>
      <c r="G27" s="103"/>
      <c r="H27" s="103"/>
      <c r="I27" s="38"/>
      <c r="J27" s="37"/>
      <c r="K27" s="37"/>
      <c r="L27" s="37"/>
      <c r="M27" s="103" t="e">
        <f ca="1">IF(rngIsDate(HostBuild[CTO Acceptance]),"Y","N")</f>
        <v>#NAME?</v>
      </c>
      <c r="N27" s="123" t="s">
        <v>4</v>
      </c>
      <c r="O27" s="39"/>
      <c r="P27" s="39"/>
      <c r="Q27" s="123" t="s">
        <v>0</v>
      </c>
      <c r="R27" s="126" t="str">
        <f>IF(NOT(ISBLANK(HostBuild[Env Label])),IFERROR(VLOOKUP(HostBuild[Env Label],[1]!tEnv[#Data],3,FALSE),""),"")</f>
        <v/>
      </c>
      <c r="S27" s="104"/>
      <c r="T27" s="40"/>
      <c r="U27" s="105"/>
      <c r="V27" s="123" t="s">
        <v>103</v>
      </c>
      <c r="W27" s="123" t="s">
        <v>98</v>
      </c>
      <c r="X27" s="123" t="s">
        <v>99</v>
      </c>
      <c r="Y27" s="123" t="s">
        <v>58</v>
      </c>
      <c r="Z27" s="126" t="str">
        <f>IF(NOT(ISBLANK(HostBuild[[#This Row],[Product 
(Acronym)]])),CONCATENATE(HostBuild[[#This Row],[Type]],"-",HostBuild[[#This Row],[Product 
(Acronym)]]),"")</f>
        <v>DB-ESB</v>
      </c>
      <c r="AA27" s="106"/>
      <c r="AB27" s="106" t="s">
        <v>59</v>
      </c>
      <c r="AC27" s="41"/>
      <c r="AD27" s="42"/>
      <c r="AE27" s="42"/>
      <c r="AF27" s="43" t="s">
        <v>60</v>
      </c>
      <c r="AG27" s="124"/>
      <c r="AH27" s="107"/>
      <c r="AI27" s="124" t="s">
        <v>104</v>
      </c>
      <c r="AJ27" s="123">
        <f>IF(COUNTIF(HostBuild[Alias],HostBuild[Alias]),1/COUNTIF(HostBuild[Alias],HostBuild[Alias]),0)</f>
        <v>1</v>
      </c>
      <c r="AK27" s="124"/>
      <c r="AL27" s="124"/>
      <c r="AM27" s="44" t="s">
        <v>101</v>
      </c>
      <c r="AN27" s="45" t="str">
        <f>IF(NOT(ISBLANK(HostBuild[Server Model])),VLOOKUP(HostBuild[Server Model],[1]!ServerModelsTier[#Data],2,FALSE),"")</f>
        <v>IBM P-Series Tier 2</v>
      </c>
      <c r="AO27" s="45" t="str">
        <f>IF(NOT(ISBLANK(HostBuild[Server Model])),VLOOKUP(HostBuild[Server Model],[1]!ServerModelsTier[#Data],5,FALSE),"")</f>
        <v>pSeries</v>
      </c>
      <c r="AP27" s="44"/>
      <c r="AQ27" s="44" t="s">
        <v>102</v>
      </c>
      <c r="AR27" s="46"/>
      <c r="AS27" s="108"/>
      <c r="AT27" s="47"/>
      <c r="AU27" s="109"/>
      <c r="AV27" s="48"/>
      <c r="AW27" s="124"/>
      <c r="AX27" s="124"/>
      <c r="AY27" s="124"/>
      <c r="AZ27" s="49"/>
      <c r="BA27" s="124"/>
      <c r="BB27" s="124"/>
      <c r="BC27" s="42"/>
      <c r="BD27" s="124"/>
      <c r="BE27" s="124"/>
      <c r="BF27" s="124"/>
      <c r="BG27" s="124"/>
      <c r="BH27" s="124"/>
      <c r="BI27" s="124"/>
      <c r="BJ27" s="124"/>
      <c r="BK27"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27" s="127"/>
      <c r="BM27" s="129">
        <f>IF(ISNUMBER(HostBuild[Recommended SAN (GB)]),HostBuild[Recommended SAN (GB)])+IF(HostBuild[Additional SAN (GB)]&gt;0,CEILING(HostBuild[Additional SAN (GB)],LUN),-(CEILING(-HostBuild[Additional SAN (GB)],LUN)))</f>
        <v>0</v>
      </c>
      <c r="BN27" s="128"/>
      <c r="BO27" s="129">
        <f>HostBuild[SAN (GB)
NEEDED TODAY]+CEILING(HostBuild[SAN (GB)
RESERVED
DO NOT USE TO BUILD], LUN)</f>
        <v>0</v>
      </c>
      <c r="BP27" s="130"/>
      <c r="BQ27" s="131"/>
      <c r="BR27" s="125" t="s">
        <v>64</v>
      </c>
      <c r="BS27" s="110">
        <f>IF(HostBuild[Existing Server?]&lt;&gt;"Yes - Inside this BoM",IF(ISNUMBER(HostBuild[RAM 
(GB)]),IF(HostBuild[Existing RAM (GB)]+HostBuild[RAM 
(GB)]&gt;0,IF(HostBuild[Virtual Platform Storage Type]="NAS",110+HostBuild[Existing RAM (GB)]+HostBuild[RAM 
(GB)]*1.75,0),0),0),0)</f>
        <v>0</v>
      </c>
      <c r="BT27" s="111"/>
      <c r="BU27" s="112">
        <f>IF(ISNUMBER(HostBuild[Recommended NAS (GB)]),HostBuild[Recommended NAS (GB)])+HostBuild[Additional NAS (GB)]</f>
        <v>0</v>
      </c>
      <c r="BV27" s="50"/>
      <c r="BW27" s="50"/>
      <c r="BX27" s="133">
        <f>IFERROR((HostBuild[SAN (GB)
End-State
DO NOT USE TO BUILD]+HostBuild[SAN (GB) Shared])*25%,"")</f>
        <v>0</v>
      </c>
      <c r="BY27" s="113">
        <f>IFERROR(HostBuild[Archive
Full (GB)]*15%,"")</f>
        <v>0</v>
      </c>
      <c r="BZ27" s="51"/>
      <c r="CA27" s="51"/>
      <c r="CB27" s="52"/>
      <c r="CC27" s="53"/>
      <c r="CD27" s="52"/>
      <c r="CE27" s="54"/>
      <c r="CF27" s="128"/>
      <c r="CG27" s="114"/>
      <c r="CH27" s="55"/>
      <c r="CI27" s="56"/>
      <c r="CJ27" s="57"/>
      <c r="CK27" s="58"/>
      <c r="CL27" s="59">
        <f>IFERROR(IF(FIND(CL$1,$W27)&gt;0,IF(INDEX([1]!Product_Pricing_Table[#Data],MATCH(CL$1,Products,0),2)="Cores",IF(HostBuild[Use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7" s="59">
        <f>IFERROR(IF(FIND(CM$1,$W27)&gt;0,IF(INDEX([1]!Product_Pricing_Table[#Data],MATCH(CM$1,Products,0),2)="Cores",IF(HostBuild[Use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7" s="59">
        <f>IFERROR(IF(FIND(CN$1,$W27)&gt;0,IF(INDEX([1]!Product_Pricing_Table[#Data],MATCH(CN$1,Products,0),2)="Cores",IF(HostBuild[Use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7" s="59">
        <f>IFERROR(IF(FIND(CO$1,$W27)&gt;0,IF(INDEX([1]!Product_Pricing_Table[#Data],MATCH(CO$1,Products,0),2)="Cores",IF(HostBuild[Use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7" s="59">
        <f>IFERROR(IF(FIND(CP$1,$W27)&gt;0,IF(INDEX([1]!Product_Pricing_Table[#Data],MATCH(CP$1,Products,0),2)="Cores",IF(HostBuild[Use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7" s="59">
        <f>IFERROR(IF(FIND(CQ$1,$W27)&gt;0,IF(INDEX([1]!Product_Pricing_Table[#Data],MATCH(CQ$1,Products,0),2)="Cores",IF(HostBuild[Use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7" s="59">
        <f>IFERROR(IF(FIND(CR$1,$W27)&gt;0,IF(INDEX([1]!Product_Pricing_Table[#Data],MATCH(CR$1,Products,0),2)="Cores",IF(HostBuild[Use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7" s="59">
        <f>IFERROR(IF(FIND(CS$1,$W27)&gt;0,IF(INDEX([1]!Product_Pricing_Table[#Data],MATCH(CS$1,Products,0),2)="Cores",IF(HostBuild[Use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7" s="59">
        <f>IFERROR(IF(FIND(CT$1,$W27)&gt;0,IF(INDEX([1]!Product_Pricing_Table[#Data],MATCH(CT$1,Products,0),2)="Cores",IF(HostBuild[Use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7" s="59">
        <f>IFERROR(IF(FIND(CU$1,$W27)&gt;0,IF(INDEX([1]!Product_Pricing_Table[#Data],MATCH(CU$1,Products,0),2)="Cores",IF(HostBuild[Use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7" s="59">
        <f>IFERROR(IF(FIND(CV$1,$W27)&gt;0,IF(INDEX([1]!Product_Pricing_Table[#Data],MATCH(CV$1,Products,0),2)="Cores",IF(HostBuild[Use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7" s="59">
        <f>IFERROR(IF(FIND(CW$1,$W27)&gt;0,IF(INDEX([1]!Product_Pricing_Table[#Data],MATCH(CW$1,Products,0),2)="Cores",IF(HostBuild[Use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7" s="59">
        <f>IFERROR(IF(FIND(CX$1,$W27)&gt;0,IF(INDEX([1]!Product_Pricing_Table[#Data],MATCH(CX$1,Products,0),2)="Cores",IF(HostBuild[Use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7" s="59">
        <f>IFERROR(IF(FIND(CY$1,$W27)&gt;0,IF(INDEX([1]!Product_Pricing_Table[#Data],MATCH(CY$1,Products,0),2)="Cores",IF(HostBuild[Use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7" s="59">
        <f>IFERROR(IF(FIND(CZ$1,$W27)&gt;0,IF(INDEX([1]!Product_Pricing_Table[#Data],MATCH(CZ$1,Products,0),2)="Cores",IF(HostBuild[Use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7" s="59">
        <f>IFERROR(IF(FIND(DA$1,$W27)&gt;0,IF(INDEX([1]!Product_Pricing_Table[#Data],MATCH(DA$1,Products,0),2)="Cores",IF(HostBuild[Use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7" s="59">
        <f>IFERROR(IF(FIND(DB$1,$W27)&gt;0,IF(INDEX([1]!Product_Pricing_Table[#Data],MATCH(DB$1,Products,0),2)="Cores",IF(HostBuild[Use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7" s="59">
        <f>IFERROR(IF(FIND(DC$1,$W27)&gt;0,IF(INDEX([1]!Product_Pricing_Table[#Data],MATCH(DC$1,Products,0),2)="Cores",IF(HostBuild[Use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7" s="59">
        <f>IFERROR(IF(FIND(DD$1,$W27)&gt;0,IF(INDEX([1]!Product_Pricing_Table[#Data],MATCH(DD$1,Products,0),2)="Cores",IF(HostBuild[Use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7" s="59">
        <f>IFERROR(IF(FIND(DE$1,$W27)&gt;0,IF(INDEX([1]!Product_Pricing_Table[#Data],MATCH(DE$1,Products,0),2)="Cores",IF(HostBuild[Use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7" s="60">
        <f>IFERROR(IF(FIND(DF$1,$W27)&gt;0,IF(INDEX([1]!Product_Pricing_Table[#Data],MATCH(DF$1,Products,0),2)="Cores",IF(HostBuild[Use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7" s="60">
        <f>IFERROR(IF(FIND(DG$1,$W27)&gt;0,IF(INDEX([1]!Product_Pricing_Table[#Data],MATCH(DG$1,Products,0),2)="Cores",IF(HostBuild[Use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7" s="59">
        <f>IFERROR(IF(FIND(DH$1,$W27)&gt;0,IF(INDEX([1]!Product_Pricing_Table[#Data],MATCH(DH$1,Products,0),2)="Cores",IF(HostBuild[Use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7" s="60">
        <f>IFERROR(IF(FIND(DI$1,$W27)&gt;0,IF(INDEX([1]!Product_Pricing_Table[#Data],MATCH(DI$1,Products,0),2)="Cores",IF(HostBuild[Use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7" s="59">
        <f>IFERROR(IF(FIND(DJ$1,$W27)&gt;0,IF(INDEX([1]!Product_Pricing_Table[#Data],MATCH(DJ$1,Products,0),2)="Cores",IF(HostBuild[Use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7" s="59">
        <f>IFERROR(IF(FIND(DK$1,$W27)&gt;0,IF(INDEX([1]!Product_Pricing_Table[#Data],MATCH(DK$1,Products,0),2)="Cores",IF(HostBuild[Use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7" s="59">
        <f>IFERROR(IF(FIND(DL$1,$W27)&gt;0,IF(INDEX([1]!Product_Pricing_Table[#Data],MATCH(DL$1,Products,0),2)="Cores",IF(HostBuild[Use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7" s="59">
        <f>IFERROR(IF(FIND(DM$1,$W27)&gt;0,IF(INDEX([1]!Product_Pricing_Table[#Data],MATCH(DM$1,Products,0),2)="Cores",IF(HostBuild[Use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7" s="59">
        <f>IFERROR(IF(FIND(DN$1,$W27)&gt;0,IF(INDEX([1]!Product_Pricing_Table[#Data],MATCH(DN$1,Products,0),2)="Cores",IF(HostBuild[Use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7" s="59">
        <f>IFERROR(IF(FIND(DO$1,$W27)&gt;0,IF(INDEX([1]!Product_Pricing_Table[#Data],MATCH(DO$1,Products,0),2)="Cores",IF(HostBuild[Use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7" s="59">
        <f>IFERROR(IF(FIND(DP$1,$W27)&gt;0,IF(INDEX([1]!Product_Pricing_Table[#Data],MATCH(DP$1,Products,0),2)="Cores",IF(HostBuild[Use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7" s="59">
        <f>IFERROR(IF(FIND(DQ$1,$W27)&gt;0,IF(INDEX([1]!Product_Pricing_Table[#Data],MATCH(DQ$1,Products,0),2)="Cores",IF(HostBuild[Use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7" s="59">
        <f>IFERROR(IF(FIND(DR$1,$W27)&gt;0,IF(INDEX([1]!Product_Pricing_Table[#Data],MATCH(DR$1,Products,0),2)="Cores",IF(HostBuild[Use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7" s="59">
        <f>IFERROR(IF(FIND(DS$1,$W27)&gt;0,IF(INDEX([1]!Product_Pricing_Table[#Data],MATCH(DS$1,Products,0),2)="Cores",IF(HostBuild[Use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7" s="59">
        <f>IFERROR(IF(FIND(DT$1,$W27)&gt;0,IF(INDEX([1]!Product_Pricing_Table[#Data],MATCH(DT$1,Products,0),2)="Cores",IF(HostBuild[Use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7" s="59">
        <f>IFERROR(IF(FIND(DU$1,$W27)&gt;0,IF(INDEX([1]!Product_Pricing_Table[#Data],MATCH(DU$1,Products,0),2)="Cores",IF(HostBuild[Use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7" s="59">
        <f>IFERROR(IF(FIND(DV$1,$W27)&gt;0,IF(INDEX([1]!Product_Pricing_Table[#Data],MATCH(DV$1,Products,0),2)="Cores",IF(HostBuild[Use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7" s="59">
        <f>IFERROR(IF(FIND(DW$1,$W27)&gt;0,IF(INDEX([1]!Product_Pricing_Table[#Data],MATCH(DW$1,Products,0),2)="Cores",IF(HostBuild[Use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7" s="59">
        <f>IFERROR(IF(FIND(DX$1,$W27)&gt;0,IF(INDEX([1]!Product_Pricing_Table[#Data],MATCH(DX$1,Products,0),2)="Cores",IF(HostBuild[Use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7" s="59">
        <f>IFERROR(IF(FIND(DY$1,$W27)&gt;0,IF(INDEX([1]!Product_Pricing_Table[#Data],MATCH(DY$1,Products,0),2)="Cores",IF(HostBuild[Use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7" s="59">
        <f>IFERROR(IF(FIND(DZ$1,$W27)&gt;0,IF(INDEX([1]!Product_Pricing_Table[#Data],MATCH(DZ$1,Products,0),2)="Cores",IF(HostBuild[Use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7" s="59">
        <f>IFERROR(IF(FIND(EA$1,$W27)&gt;0,IF(INDEX([1]!Product_Pricing_Table[#Data],MATCH(EA$1,Products,0),2)="Cores",IF(HostBuild[Use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7" s="59">
        <f>IFERROR(IF(FIND(EB$1,$W27)&gt;0,IF(INDEX([1]!Product_Pricing_Table[#Data],MATCH(EB$1,Products,0),2)="Cores",IF(HostBuild[Use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7" s="60">
        <f>IFERROR(IF(FIND(EC$1,$W27)&gt;0,IF(INDEX([1]!Product_Pricing_Table[#Data],MATCH(EC$1,Products,0),2)="Cores",IF(HostBuild[Use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7" s="59">
        <f>IFERROR(IF(FIND(ED$1,$W27)&gt;0,IF(INDEX([1]!Product_Pricing_Table[#Data],MATCH(ED$1,Products,0),2)="Cores",IF(HostBuild[Use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7" s="59">
        <f>IFERROR(IF(FIND(EE$1,$W27)&gt;0,IF(INDEX([1]!Product_Pricing_Table[#Data],MATCH(EE$1,Products,0),2)="Cores",IF(HostBuild[Use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7" s="59">
        <f>IFERROR(IF(FIND(EF$1,$W27)&gt;0,IF(INDEX([1]!Product_Pricing_Table[#Data],MATCH(EF$1,Products,0),2)="Cores",IF(HostBuild[Use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7" s="59">
        <f>IFERROR(IF(FIND(EG$1,$W27)&gt;0,IF(INDEX([1]!Product_Pricing_Table[#Data],MATCH(EG$1,Products,0),2)="Cores",IF(HostBuild[Use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7" s="59">
        <f>IFERROR(IF(FIND(EH$1,$W27)&gt;0,IF(INDEX([1]!Product_Pricing_Table[#Data],MATCH(EH$1,Products,0),2)="Cores",IF(HostBuild[Use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7" s="59">
        <f>IFERROR(IF(FIND(EI$1,$W27)&gt;0,IF(INDEX([1]!Product_Pricing_Table[#Data],MATCH(EI$1,Products,0),2)="Cores",IF(HostBuild[Use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7" s="59">
        <f>IFERROR(IF(FIND(EJ$1,$W27)&gt;0,IF(INDEX([1]!Product_Pricing_Table[#Data],MATCH(EJ$1,Products,0),2)="Cores",IF(HostBuild[Use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7" s="60">
        <f>IFERROR(IF(FIND(EK$1,$W27)&gt;0,IF(INDEX([1]!Product_Pricing_Table[#Data],MATCH(EK$1,Products,0),2)="Cores",IF(HostBuild[Use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7" s="61"/>
      <c r="EM27" s="62"/>
      <c r="EN27" s="63"/>
      <c r="EO27"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2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27" s="132">
        <f>(HostBuild[Archive
Full (GB)]+HostBuild[Archive
Incr (GB)])*Storage_DC_Dist_Tape_2014</f>
        <v>0</v>
      </c>
      <c r="ER27" s="132">
        <f>IF(ISNUMBER(HostBuild[Server HW Costs
(Monthly)]),SUM(HostBuild[[#This Row],[Server HW Costs
(Monthly)]:[Tape Costs
(Monthly)]]),0)</f>
        <v>0</v>
      </c>
      <c r="ES27" s="65">
        <f>HostBuild[Software Costs
'[Year 1']
(Monthly)]+HostBuild[Total Hardware Costs
(Monthly)]</f>
        <v>0</v>
      </c>
      <c r="ET27" s="65">
        <f>IFERROR(IF(FIND("Safenet",HostBuild[Server Model]),Safenet_PSE_PL600_Maint,0),0)+IFERROR(IF(FIND("XI52",HostBuild[Server Model]),IBM_DIA_XI52_Maint,0),0)+HostBuild[Software Costs
'[After Year 1']
(Monthly)]+HostBuild[Total Hardware Costs
(Monthly)]</f>
        <v>0</v>
      </c>
      <c r="EU27" s="66">
        <f>SUM(HostBuild[[#This Row],[Server Cost Breakdown]:[Network Cost]])</f>
        <v>0</v>
      </c>
      <c r="EV27" s="67">
        <f>IF(HostBuild[Existing Server?]="Yes - Inside this BoM",0,SUMIF(HostBuild[Alias],HostBuild[Alias],HostBuild[CPU])+SUMIF(HostBuild[Alias],HostBuild[Alias],HostBuild[Existing CPUs]))</f>
        <v>0</v>
      </c>
      <c r="EW27" s="67">
        <f>IF(HostBuild[Existing Server?]="Yes - Inside this BoM",0,SUMIF(HostBuild[Alias],HostBuild[Alias],HostBuild[Cores 
(Licensed Units)])+SUMIF(HostBuild[Alias],HostBuild[Alias],HostBuild[Existing Cores]))</f>
        <v>0</v>
      </c>
      <c r="EX27" s="67">
        <f>IF(HostBuild[Existing Server?]="Yes - Inside this BoM",0,SUMIF(HostBuild[Alias],HostBuild[Alias],HostBuild[RAM 
(GB)])+SUMIF(HostBuild[Alias],HostBuild[Alias],HostBuild[Existing RAM (GB)]))</f>
        <v>0</v>
      </c>
      <c r="EY2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7" s="66">
        <f>IF(ISBLANK(HostBuild[Server Model]),0,IF(HostBuild[Server Tier]="VMware",0,VLOOKUP(HostBuild[Server Tier],[1]!ServerTierRates[#Data],2,0))*HostBuild[CPU]*IF(AND(HostBuild[Server Type]="pSeries",HostBuild[Virtual Platform Storage Type]="Cloud-SAN"),0.25,1))</f>
        <v>0</v>
      </c>
      <c r="FD27" s="66">
        <f>0</f>
        <v>0</v>
      </c>
      <c r="FE27" s="66">
        <f>IF(HostBuild[Server Type]="VMware",HostBuild[RAM 
(GB)]*IF(ISERROR(FIND("DevCloud", HostBuild[Server Model])&gt;0),vRAM_per_vCPU_2014_Monthly,vRAM_per_vCPU_2014_Daily*30),0)</f>
        <v>0</v>
      </c>
      <c r="FF2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2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7" s="69">
        <f>IF(HostBuild[Server Tier]="VMware",0,IF(LEFT(HostBuild[Existing Server?],3)="Yes",0,IF(OR(HostBuild[Server Type]="Sun",HostBuild[Server Type]="pSeries"),Support_Direct_Server_Sun_per_OS_2014,IF(HostBuild[Server Type]="x86",Support_Direct_Server_x86_Wintel_per_OS_2014,0))))</f>
        <v>0</v>
      </c>
      <c r="FI2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8" spans="1:165" hidden="1">
      <c r="A28" s="122" t="s">
        <v>53</v>
      </c>
      <c r="B28" s="36"/>
      <c r="C28" s="36"/>
      <c r="D28" s="36"/>
      <c r="E28" s="37"/>
      <c r="F28" s="37"/>
      <c r="G28" s="103"/>
      <c r="H28" s="103"/>
      <c r="I28" s="38"/>
      <c r="J28" s="37"/>
      <c r="K28" s="37"/>
      <c r="L28" s="37"/>
      <c r="M28" s="103" t="e">
        <f ca="1">IF(rngIsDate(HostBuild[CTO Acceptance]),"Y","N")</f>
        <v>#NAME?</v>
      </c>
      <c r="N28" s="123" t="s">
        <v>4</v>
      </c>
      <c r="O28" s="39"/>
      <c r="P28" s="39"/>
      <c r="Q28" s="123" t="s">
        <v>0</v>
      </c>
      <c r="R28" s="126" t="str">
        <f>IF(NOT(ISBLANK(HostBuild[Env Label])),IFERROR(VLOOKUP(HostBuild[Env Label],[1]!tEnv[#Data],3,FALSE),""),"")</f>
        <v/>
      </c>
      <c r="S28" s="104"/>
      <c r="T28" s="40"/>
      <c r="U28" s="105"/>
      <c r="V28" s="123" t="s">
        <v>105</v>
      </c>
      <c r="W28" s="123" t="s">
        <v>98</v>
      </c>
      <c r="X28" s="123" t="s">
        <v>99</v>
      </c>
      <c r="Y28" s="123" t="s">
        <v>58</v>
      </c>
      <c r="Z28" s="126" t="str">
        <f>IF(NOT(ISBLANK(HostBuild[[#This Row],[Product 
(Acronym)]])),CONCATENATE(HostBuild[[#This Row],[Type]],"-",HostBuild[[#This Row],[Product 
(Acronym)]]),"")</f>
        <v>DB-ESB</v>
      </c>
      <c r="AA28" s="106"/>
      <c r="AB28" s="106" t="s">
        <v>59</v>
      </c>
      <c r="AC28" s="41"/>
      <c r="AD28" s="42"/>
      <c r="AE28" s="42"/>
      <c r="AF28" s="43" t="s">
        <v>60</v>
      </c>
      <c r="AG28" s="124"/>
      <c r="AH28" s="107"/>
      <c r="AI28" s="124" t="s">
        <v>106</v>
      </c>
      <c r="AJ28" s="123">
        <f>IF(COUNTIF(HostBuild[Alias],HostBuild[Alias]),1/COUNTIF(HostBuild[Alias],HostBuild[Alias]),0)</f>
        <v>1</v>
      </c>
      <c r="AK28" s="124"/>
      <c r="AL28" s="124"/>
      <c r="AM28" s="44" t="s">
        <v>101</v>
      </c>
      <c r="AN28" s="45" t="str">
        <f>IF(NOT(ISBLANK(HostBuild[Server Model])),VLOOKUP(HostBuild[Server Model],[1]!ServerModelsTier[#Data],2,FALSE),"")</f>
        <v>IBM P-Series Tier 2</v>
      </c>
      <c r="AO28" s="45" t="str">
        <f>IF(NOT(ISBLANK(HostBuild[Server Model])),VLOOKUP(HostBuild[Server Model],[1]!ServerModelsTier[#Data],5,FALSE),"")</f>
        <v>pSeries</v>
      </c>
      <c r="AP28" s="44"/>
      <c r="AQ28" s="44" t="s">
        <v>102</v>
      </c>
      <c r="AR28" s="46"/>
      <c r="AS28" s="108"/>
      <c r="AT28" s="47"/>
      <c r="AU28" s="109"/>
      <c r="AV28" s="48"/>
      <c r="AW28" s="124"/>
      <c r="AX28" s="124"/>
      <c r="AY28" s="124"/>
      <c r="AZ28" s="49"/>
      <c r="BA28" s="124"/>
      <c r="BB28" s="124"/>
      <c r="BC28" s="42"/>
      <c r="BD28" s="124"/>
      <c r="BE28" s="124"/>
      <c r="BF28" s="124"/>
      <c r="BG28" s="124"/>
      <c r="BH28" s="124"/>
      <c r="BI28" s="124"/>
      <c r="BJ28" s="124"/>
      <c r="BK28"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28" s="127">
        <v>100</v>
      </c>
      <c r="BM28" s="129">
        <f>IF(ISNUMBER(HostBuild[Recommended SAN (GB)]),HostBuild[Recommended SAN (GB)])+IF(HostBuild[Additional SAN (GB)]&gt;0,CEILING(HostBuild[Additional SAN (GB)],LUN),-(CEILING(-HostBuild[Additional SAN (GB)],LUN)))</f>
        <v>101.10000000000001</v>
      </c>
      <c r="BN28" s="128"/>
      <c r="BO28" s="129">
        <f>HostBuild[SAN (GB)
NEEDED TODAY]+CEILING(HostBuild[SAN (GB)
RESERVED
DO NOT USE TO BUILD], LUN)</f>
        <v>101.10000000000001</v>
      </c>
      <c r="BP28" s="130">
        <v>100</v>
      </c>
      <c r="BQ28" s="131"/>
      <c r="BR28" s="125" t="s">
        <v>64</v>
      </c>
      <c r="BS28" s="110">
        <f>IF(HostBuild[Existing Server?]&lt;&gt;"Yes - Inside this BoM",IF(ISNUMBER(HostBuild[RAM 
(GB)]),IF(HostBuild[Existing RAM (GB)]+HostBuild[RAM 
(GB)]&gt;0,IF(HostBuild[Virtual Platform Storage Type]="NAS",110+HostBuild[Existing RAM (GB)]+HostBuild[RAM 
(GB)]*1.75,0),0),0),0)</f>
        <v>0</v>
      </c>
      <c r="BT28" s="111"/>
      <c r="BU28" s="112">
        <f>IF(ISNUMBER(HostBuild[Recommended NAS (GB)]),HostBuild[Recommended NAS (GB)])+HostBuild[Additional NAS (GB)]</f>
        <v>0</v>
      </c>
      <c r="BV28" s="50"/>
      <c r="BW28" s="50"/>
      <c r="BX28" s="133">
        <f>IFERROR((HostBuild[SAN (GB)
End-State
DO NOT USE TO BUILD]+HostBuild[SAN (GB) Shared])*25%,"")</f>
        <v>50.275000000000006</v>
      </c>
      <c r="BY28" s="113">
        <f>IFERROR(HostBuild[Archive
Full (GB)]*15%,"")</f>
        <v>7.5412500000000007</v>
      </c>
      <c r="BZ28" s="51"/>
      <c r="CA28" s="51"/>
      <c r="CB28" s="52"/>
      <c r="CC28" s="53"/>
      <c r="CD28" s="52"/>
      <c r="CE28" s="54"/>
      <c r="CF28" s="128"/>
      <c r="CG28" s="114"/>
      <c r="CH28" s="55"/>
      <c r="CI28" s="56"/>
      <c r="CJ28" s="57"/>
      <c r="CK28" s="58"/>
      <c r="CL28" s="59">
        <f>IFERROR(IF(FIND(CL$1,$W28)&gt;0,IF(INDEX([1]!Product_Pricing_Table[#Data],MATCH(CL$1,Products,0),2)="Cores",IF(HostBuild[Use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8" s="59">
        <f>IFERROR(IF(FIND(CM$1,$W28)&gt;0,IF(INDEX([1]!Product_Pricing_Table[#Data],MATCH(CM$1,Products,0),2)="Cores",IF(HostBuild[Use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8" s="59">
        <f>IFERROR(IF(FIND(CN$1,$W28)&gt;0,IF(INDEX([1]!Product_Pricing_Table[#Data],MATCH(CN$1,Products,0),2)="Cores",IF(HostBuild[Use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8" s="59">
        <f>IFERROR(IF(FIND(CO$1,$W28)&gt;0,IF(INDEX([1]!Product_Pricing_Table[#Data],MATCH(CO$1,Products,0),2)="Cores",IF(HostBuild[Use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8" s="59">
        <f>IFERROR(IF(FIND(CP$1,$W28)&gt;0,IF(INDEX([1]!Product_Pricing_Table[#Data],MATCH(CP$1,Products,0),2)="Cores",IF(HostBuild[Use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8" s="59">
        <f>IFERROR(IF(FIND(CQ$1,$W28)&gt;0,IF(INDEX([1]!Product_Pricing_Table[#Data],MATCH(CQ$1,Products,0),2)="Cores",IF(HostBuild[Use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8" s="59">
        <f>IFERROR(IF(FIND(CR$1,$W28)&gt;0,IF(INDEX([1]!Product_Pricing_Table[#Data],MATCH(CR$1,Products,0),2)="Cores",IF(HostBuild[Use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8" s="59">
        <f>IFERROR(IF(FIND(CS$1,$W28)&gt;0,IF(INDEX([1]!Product_Pricing_Table[#Data],MATCH(CS$1,Products,0),2)="Cores",IF(HostBuild[Use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8" s="59">
        <f>IFERROR(IF(FIND(CT$1,$W28)&gt;0,IF(INDEX([1]!Product_Pricing_Table[#Data],MATCH(CT$1,Products,0),2)="Cores",IF(HostBuild[Use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8" s="59">
        <f>IFERROR(IF(FIND(CU$1,$W28)&gt;0,IF(INDEX([1]!Product_Pricing_Table[#Data],MATCH(CU$1,Products,0),2)="Cores",IF(HostBuild[Use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8" s="59">
        <f>IFERROR(IF(FIND(CV$1,$W28)&gt;0,IF(INDEX([1]!Product_Pricing_Table[#Data],MATCH(CV$1,Products,0),2)="Cores",IF(HostBuild[Use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8" s="59">
        <f>IFERROR(IF(FIND(CW$1,$W28)&gt;0,IF(INDEX([1]!Product_Pricing_Table[#Data],MATCH(CW$1,Products,0),2)="Cores",IF(HostBuild[Use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8" s="59">
        <f>IFERROR(IF(FIND(CX$1,$W28)&gt;0,IF(INDEX([1]!Product_Pricing_Table[#Data],MATCH(CX$1,Products,0),2)="Cores",IF(HostBuild[Use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8" s="59">
        <f>IFERROR(IF(FIND(CY$1,$W28)&gt;0,IF(INDEX([1]!Product_Pricing_Table[#Data],MATCH(CY$1,Products,0),2)="Cores",IF(HostBuild[Use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8" s="59">
        <f>IFERROR(IF(FIND(CZ$1,$W28)&gt;0,IF(INDEX([1]!Product_Pricing_Table[#Data],MATCH(CZ$1,Products,0),2)="Cores",IF(HostBuild[Use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8" s="59">
        <f>IFERROR(IF(FIND(DA$1,$W28)&gt;0,IF(INDEX([1]!Product_Pricing_Table[#Data],MATCH(DA$1,Products,0),2)="Cores",IF(HostBuild[Use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8" s="59">
        <f>IFERROR(IF(FIND(DB$1,$W28)&gt;0,IF(INDEX([1]!Product_Pricing_Table[#Data],MATCH(DB$1,Products,0),2)="Cores",IF(HostBuild[Use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8" s="59">
        <f>IFERROR(IF(FIND(DC$1,$W28)&gt;0,IF(INDEX([1]!Product_Pricing_Table[#Data],MATCH(DC$1,Products,0),2)="Cores",IF(HostBuild[Use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8" s="59">
        <f>IFERROR(IF(FIND(DD$1,$W28)&gt;0,IF(INDEX([1]!Product_Pricing_Table[#Data],MATCH(DD$1,Products,0),2)="Cores",IF(HostBuild[Use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8" s="59">
        <f>IFERROR(IF(FIND(DE$1,$W28)&gt;0,IF(INDEX([1]!Product_Pricing_Table[#Data],MATCH(DE$1,Products,0),2)="Cores",IF(HostBuild[Use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8" s="60">
        <f>IFERROR(IF(FIND(DF$1,$W28)&gt;0,IF(INDEX([1]!Product_Pricing_Table[#Data],MATCH(DF$1,Products,0),2)="Cores",IF(HostBuild[Use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8" s="60">
        <f>IFERROR(IF(FIND(DG$1,$W28)&gt;0,IF(INDEX([1]!Product_Pricing_Table[#Data],MATCH(DG$1,Products,0),2)="Cores",IF(HostBuild[Use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8" s="59">
        <f>IFERROR(IF(FIND(DH$1,$W28)&gt;0,IF(INDEX([1]!Product_Pricing_Table[#Data],MATCH(DH$1,Products,0),2)="Cores",IF(HostBuild[Use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8" s="60">
        <f>IFERROR(IF(FIND(DI$1,$W28)&gt;0,IF(INDEX([1]!Product_Pricing_Table[#Data],MATCH(DI$1,Products,0),2)="Cores",IF(HostBuild[Use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8" s="59">
        <f>IFERROR(IF(FIND(DJ$1,$W28)&gt;0,IF(INDEX([1]!Product_Pricing_Table[#Data],MATCH(DJ$1,Products,0),2)="Cores",IF(HostBuild[Use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8" s="59">
        <f>IFERROR(IF(FIND(DK$1,$W28)&gt;0,IF(INDEX([1]!Product_Pricing_Table[#Data],MATCH(DK$1,Products,0),2)="Cores",IF(HostBuild[Use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8" s="59">
        <f>IFERROR(IF(FIND(DL$1,$W28)&gt;0,IF(INDEX([1]!Product_Pricing_Table[#Data],MATCH(DL$1,Products,0),2)="Cores",IF(HostBuild[Use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8" s="59">
        <f>IFERROR(IF(FIND(DM$1,$W28)&gt;0,IF(INDEX([1]!Product_Pricing_Table[#Data],MATCH(DM$1,Products,0),2)="Cores",IF(HostBuild[Use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8" s="59">
        <f>IFERROR(IF(FIND(DN$1,$W28)&gt;0,IF(INDEX([1]!Product_Pricing_Table[#Data],MATCH(DN$1,Products,0),2)="Cores",IF(HostBuild[Use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8" s="59">
        <f>IFERROR(IF(FIND(DO$1,$W28)&gt;0,IF(INDEX([1]!Product_Pricing_Table[#Data],MATCH(DO$1,Products,0),2)="Cores",IF(HostBuild[Use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8" s="59">
        <f>IFERROR(IF(FIND(DP$1,$W28)&gt;0,IF(INDEX([1]!Product_Pricing_Table[#Data],MATCH(DP$1,Products,0),2)="Cores",IF(HostBuild[Use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8" s="59">
        <f>IFERROR(IF(FIND(DQ$1,$W28)&gt;0,IF(INDEX([1]!Product_Pricing_Table[#Data],MATCH(DQ$1,Products,0),2)="Cores",IF(HostBuild[Use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8" s="59">
        <f>IFERROR(IF(FIND(DR$1,$W28)&gt;0,IF(INDEX([1]!Product_Pricing_Table[#Data],MATCH(DR$1,Products,0),2)="Cores",IF(HostBuild[Use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8" s="59">
        <f>IFERROR(IF(FIND(DS$1,$W28)&gt;0,IF(INDEX([1]!Product_Pricing_Table[#Data],MATCH(DS$1,Products,0),2)="Cores",IF(HostBuild[Use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8" s="59">
        <f>IFERROR(IF(FIND(DT$1,$W28)&gt;0,IF(INDEX([1]!Product_Pricing_Table[#Data],MATCH(DT$1,Products,0),2)="Cores",IF(HostBuild[Use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8" s="59">
        <f>IFERROR(IF(FIND(DU$1,$W28)&gt;0,IF(INDEX([1]!Product_Pricing_Table[#Data],MATCH(DU$1,Products,0),2)="Cores",IF(HostBuild[Use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8" s="59">
        <f>IFERROR(IF(FIND(DV$1,$W28)&gt;0,IF(INDEX([1]!Product_Pricing_Table[#Data],MATCH(DV$1,Products,0),2)="Cores",IF(HostBuild[Use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8" s="59">
        <f>IFERROR(IF(FIND(DW$1,$W28)&gt;0,IF(INDEX([1]!Product_Pricing_Table[#Data],MATCH(DW$1,Products,0),2)="Cores",IF(HostBuild[Use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8" s="59">
        <f>IFERROR(IF(FIND(DX$1,$W28)&gt;0,IF(INDEX([1]!Product_Pricing_Table[#Data],MATCH(DX$1,Products,0),2)="Cores",IF(HostBuild[Use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8" s="59">
        <f>IFERROR(IF(FIND(DY$1,$W28)&gt;0,IF(INDEX([1]!Product_Pricing_Table[#Data],MATCH(DY$1,Products,0),2)="Cores",IF(HostBuild[Use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8" s="59">
        <f>IFERROR(IF(FIND(DZ$1,$W28)&gt;0,IF(INDEX([1]!Product_Pricing_Table[#Data],MATCH(DZ$1,Products,0),2)="Cores",IF(HostBuild[Use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8" s="59">
        <f>IFERROR(IF(FIND(EA$1,$W28)&gt;0,IF(INDEX([1]!Product_Pricing_Table[#Data],MATCH(EA$1,Products,0),2)="Cores",IF(HostBuild[Use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8" s="59">
        <f>IFERROR(IF(FIND(EB$1,$W28)&gt;0,IF(INDEX([1]!Product_Pricing_Table[#Data],MATCH(EB$1,Products,0),2)="Cores",IF(HostBuild[Use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8" s="60">
        <f>IFERROR(IF(FIND(EC$1,$W28)&gt;0,IF(INDEX([1]!Product_Pricing_Table[#Data],MATCH(EC$1,Products,0),2)="Cores",IF(HostBuild[Use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8" s="59">
        <f>IFERROR(IF(FIND(ED$1,$W28)&gt;0,IF(INDEX([1]!Product_Pricing_Table[#Data],MATCH(ED$1,Products,0),2)="Cores",IF(HostBuild[Use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8" s="59">
        <f>IFERROR(IF(FIND(EE$1,$W28)&gt;0,IF(INDEX([1]!Product_Pricing_Table[#Data],MATCH(EE$1,Products,0),2)="Cores",IF(HostBuild[Use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8" s="59">
        <f>IFERROR(IF(FIND(EF$1,$W28)&gt;0,IF(INDEX([1]!Product_Pricing_Table[#Data],MATCH(EF$1,Products,0),2)="Cores",IF(HostBuild[Use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8" s="59">
        <f>IFERROR(IF(FIND(EG$1,$W28)&gt;0,IF(INDEX([1]!Product_Pricing_Table[#Data],MATCH(EG$1,Products,0),2)="Cores",IF(HostBuild[Use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8" s="59">
        <f>IFERROR(IF(FIND(EH$1,$W28)&gt;0,IF(INDEX([1]!Product_Pricing_Table[#Data],MATCH(EH$1,Products,0),2)="Cores",IF(HostBuild[Use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8" s="59">
        <f>IFERROR(IF(FIND(EI$1,$W28)&gt;0,IF(INDEX([1]!Product_Pricing_Table[#Data],MATCH(EI$1,Products,0),2)="Cores",IF(HostBuild[Use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8" s="59">
        <f>IFERROR(IF(FIND(EJ$1,$W28)&gt;0,IF(INDEX([1]!Product_Pricing_Table[#Data],MATCH(EJ$1,Products,0),2)="Cores",IF(HostBuild[Use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8" s="60">
        <f>IFERROR(IF(FIND(EK$1,$W28)&gt;0,IF(INDEX([1]!Product_Pricing_Table[#Data],MATCH(EK$1,Products,0),2)="Cores",IF(HostBuild[Use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8" s="61"/>
      <c r="EM28" s="62"/>
      <c r="EN28" s="63"/>
      <c r="EO28"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2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271.95900000000006</v>
      </c>
      <c r="EQ28" s="132">
        <f>(HostBuild[Archive
Full (GB)]+HostBuild[Archive
Incr (GB)])*Storage_DC_Dist_Tape_2014</f>
        <v>20.235687500000001</v>
      </c>
      <c r="ER28" s="132">
        <f>IF(ISNUMBER(HostBuild[Server HW Costs
(Monthly)]),SUM(HostBuild[[#This Row],[Server HW Costs
(Monthly)]:[Tape Costs
(Monthly)]]),0)</f>
        <v>292.19468750000004</v>
      </c>
      <c r="ES28" s="65">
        <f>HostBuild[Software Costs
'[Year 1']
(Monthly)]+HostBuild[Total Hardware Costs
(Monthly)]</f>
        <v>292.19468750000004</v>
      </c>
      <c r="ET28" s="65">
        <f>IFERROR(IF(FIND("Safenet",HostBuild[Server Model]),Safenet_PSE_PL600_Maint,0),0)+IFERROR(IF(FIND("XI52",HostBuild[Server Model]),IBM_DIA_XI52_Maint,0),0)+HostBuild[Software Costs
'[After Year 1']
(Monthly)]+HostBuild[Total Hardware Costs
(Monthly)]</f>
        <v>292.19468750000004</v>
      </c>
      <c r="EU28" s="66">
        <f>SUM(HostBuild[[#This Row],[Server Cost Breakdown]:[Network Cost]])</f>
        <v>0</v>
      </c>
      <c r="EV28" s="67">
        <f>IF(HostBuild[Existing Server?]="Yes - Inside this BoM",0,SUMIF(HostBuild[Alias],HostBuild[Alias],HostBuild[CPU])+SUMIF(HostBuild[Alias],HostBuild[Alias],HostBuild[Existing CPUs]))</f>
        <v>0</v>
      </c>
      <c r="EW28" s="67">
        <f>IF(HostBuild[Existing Server?]="Yes - Inside this BoM",0,SUMIF(HostBuild[Alias],HostBuild[Alias],HostBuild[Cores 
(Licensed Units)])+SUMIF(HostBuild[Alias],HostBuild[Alias],HostBuild[Existing Cores]))</f>
        <v>0</v>
      </c>
      <c r="EX28" s="67">
        <f>IF(HostBuild[Existing Server?]="Yes - Inside this BoM",0,SUMIF(HostBuild[Alias],HostBuild[Alias],HostBuild[RAM 
(GB)])+SUMIF(HostBuild[Alias],HostBuild[Alias],HostBuild[Existing RAM (GB)]))</f>
        <v>0</v>
      </c>
      <c r="EY2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8" s="66">
        <f>IF(ISBLANK(HostBuild[Server Model]),0,IF(HostBuild[Server Tier]="VMware",0,VLOOKUP(HostBuild[Server Tier],[1]!ServerTierRates[#Data],2,0))*HostBuild[CPU]*IF(AND(HostBuild[Server Type]="pSeries",HostBuild[Virtual Platform Storage Type]="Cloud-SAN"),0.25,1))</f>
        <v>0</v>
      </c>
      <c r="FD28" s="66">
        <f>0</f>
        <v>0</v>
      </c>
      <c r="FE28" s="66">
        <f>IF(HostBuild[Server Type]="VMware",HostBuild[RAM 
(GB)]*IF(ISERROR(FIND("DevCloud", HostBuild[Server Model])&gt;0),vRAM_per_vCPU_2014_Monthly,vRAM_per_vCPU_2014_Daily*30),0)</f>
        <v>0</v>
      </c>
      <c r="FF2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2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8" s="69">
        <f>IF(HostBuild[Server Tier]="VMware",0,IF(LEFT(HostBuild[Existing Server?],3)="Yes",0,IF(OR(HostBuild[Server Type]="Sun",HostBuild[Server Type]="pSeries"),Support_Direct_Server_Sun_per_OS_2014,IF(HostBuild[Server Type]="x86",Support_Direct_Server_x86_Wintel_per_OS_2014,0))))</f>
        <v>0</v>
      </c>
      <c r="FI2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29" spans="1:165" hidden="1">
      <c r="A29" s="122" t="s">
        <v>53</v>
      </c>
      <c r="B29" s="36"/>
      <c r="C29" s="36"/>
      <c r="D29" s="36"/>
      <c r="E29" s="37"/>
      <c r="F29" s="37"/>
      <c r="G29" s="103"/>
      <c r="H29" s="103"/>
      <c r="I29" s="38"/>
      <c r="J29" s="37"/>
      <c r="K29" s="37"/>
      <c r="L29" s="37"/>
      <c r="M29" s="103" t="e">
        <f ca="1">IF(rngIsDate(HostBuild[CTO Acceptance]),"Y","N")</f>
        <v>#NAME?</v>
      </c>
      <c r="N29" s="123" t="s">
        <v>4</v>
      </c>
      <c r="O29" s="39"/>
      <c r="P29" s="39"/>
      <c r="Q29" s="123" t="s">
        <v>0</v>
      </c>
      <c r="R29" s="126" t="str">
        <f>IF(NOT(ISBLANK(HostBuild[Env Label])),IFERROR(VLOOKUP(HostBuild[Env Label],[1]!tEnv[#Data],3,FALSE),""),"")</f>
        <v/>
      </c>
      <c r="S29" s="104"/>
      <c r="T29" s="40"/>
      <c r="U29" s="105"/>
      <c r="V29" s="123" t="s">
        <v>107</v>
      </c>
      <c r="W29" s="123" t="s">
        <v>108</v>
      </c>
      <c r="X29" s="123" t="s">
        <v>99</v>
      </c>
      <c r="Y29" s="123" t="s">
        <v>58</v>
      </c>
      <c r="Z29" s="126" t="str">
        <f>IF(NOT(ISBLANK(HostBuild[[#This Row],[Product 
(Acronym)]])),CONCATENATE(HostBuild[[#This Row],[Type]],"-",HostBuild[[#This Row],[Product 
(Acronym)]]),"")</f>
        <v>DB-ESB</v>
      </c>
      <c r="AA29" s="106"/>
      <c r="AB29" s="106" t="s">
        <v>59</v>
      </c>
      <c r="AC29" s="41"/>
      <c r="AD29" s="42"/>
      <c r="AE29" s="42"/>
      <c r="AF29" s="43" t="s">
        <v>60</v>
      </c>
      <c r="AG29" s="124"/>
      <c r="AH29" s="107"/>
      <c r="AI29" s="124" t="s">
        <v>109</v>
      </c>
      <c r="AJ29" s="123">
        <f>IF(COUNTIF(HostBuild[Alias],HostBuild[Alias]),1/COUNTIF(HostBuild[Alias],HostBuild[Alias]),0)</f>
        <v>1</v>
      </c>
      <c r="AK29" s="124"/>
      <c r="AL29" s="124"/>
      <c r="AM29" s="44" t="s">
        <v>101</v>
      </c>
      <c r="AN29" s="45" t="str">
        <f>IF(NOT(ISBLANK(HostBuild[Server Model])),VLOOKUP(HostBuild[Server Model],[1]!ServerModelsTier[#Data],2,FALSE),"")</f>
        <v>IBM P-Series Tier 2</v>
      </c>
      <c r="AO29" s="45" t="str">
        <f>IF(NOT(ISBLANK(HostBuild[Server Model])),VLOOKUP(HostBuild[Server Model],[1]!ServerModelsTier[#Data],5,FALSE),"")</f>
        <v>pSeries</v>
      </c>
      <c r="AP29" s="44"/>
      <c r="AQ29" s="44" t="s">
        <v>102</v>
      </c>
      <c r="AR29" s="46"/>
      <c r="AS29" s="108"/>
      <c r="AT29" s="47"/>
      <c r="AU29" s="109"/>
      <c r="AV29" s="48"/>
      <c r="AW29" s="124"/>
      <c r="AX29" s="124"/>
      <c r="AY29" s="124"/>
      <c r="AZ29" s="49"/>
      <c r="BA29" s="124"/>
      <c r="BB29" s="124"/>
      <c r="BC29" s="42"/>
      <c r="BD29" s="124"/>
      <c r="BE29" s="124"/>
      <c r="BF29" s="124"/>
      <c r="BG29" s="124"/>
      <c r="BH29" s="124"/>
      <c r="BI29" s="124"/>
      <c r="BJ29" s="124"/>
      <c r="BK29"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29" s="127">
        <v>100</v>
      </c>
      <c r="BM29" s="129">
        <f>IF(ISNUMBER(HostBuild[Recommended SAN (GB)]),HostBuild[Recommended SAN (GB)])+IF(HostBuild[Additional SAN (GB)]&gt;0,CEILING(HostBuild[Additional SAN (GB)],LUN),-(CEILING(-HostBuild[Additional SAN (GB)],LUN)))</f>
        <v>101.10000000000001</v>
      </c>
      <c r="BN29" s="128"/>
      <c r="BO29" s="129">
        <f>HostBuild[SAN (GB)
NEEDED TODAY]+CEILING(HostBuild[SAN (GB)
RESERVED
DO NOT USE TO BUILD], LUN)</f>
        <v>101.10000000000001</v>
      </c>
      <c r="BP29" s="130">
        <v>100</v>
      </c>
      <c r="BQ29" s="131"/>
      <c r="BR29" s="125" t="s">
        <v>64</v>
      </c>
      <c r="BS29" s="110">
        <f>IF(HostBuild[Existing Server?]&lt;&gt;"Yes - Inside this BoM",IF(ISNUMBER(HostBuild[RAM 
(GB)]),IF(HostBuild[Existing RAM (GB)]+HostBuild[RAM 
(GB)]&gt;0,IF(HostBuild[Virtual Platform Storage Type]="NAS",110+HostBuild[Existing RAM (GB)]+HostBuild[RAM 
(GB)]*1.75,0),0),0),0)</f>
        <v>0</v>
      </c>
      <c r="BT29" s="111"/>
      <c r="BU29" s="112">
        <f>IF(ISNUMBER(HostBuild[Recommended NAS (GB)]),HostBuild[Recommended NAS (GB)])+HostBuild[Additional NAS (GB)]</f>
        <v>0</v>
      </c>
      <c r="BV29" s="50"/>
      <c r="BW29" s="50"/>
      <c r="BX29" s="133">
        <f>IFERROR((HostBuild[SAN (GB)
End-State
DO NOT USE TO BUILD]+HostBuild[SAN (GB) Shared])*25%,"")</f>
        <v>50.275000000000006</v>
      </c>
      <c r="BY29" s="113">
        <f>IFERROR(HostBuild[Archive
Full (GB)]*15%,"")</f>
        <v>7.5412500000000007</v>
      </c>
      <c r="BZ29" s="51"/>
      <c r="CA29" s="51"/>
      <c r="CB29" s="52"/>
      <c r="CC29" s="53"/>
      <c r="CD29" s="52"/>
      <c r="CE29" s="54"/>
      <c r="CF29" s="128"/>
      <c r="CG29" s="114"/>
      <c r="CH29" s="55"/>
      <c r="CI29" s="56"/>
      <c r="CJ29" s="57"/>
      <c r="CK29" s="58"/>
      <c r="CL29" s="59">
        <f>IFERROR(IF(FIND(CL$1,$W29)&gt;0,IF(INDEX([1]!Product_Pricing_Table[#Data],MATCH(CL$1,Products,0),2)="Cores",IF(HostBuild[Use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29" s="59">
        <f>IFERROR(IF(FIND(CM$1,$W29)&gt;0,IF(INDEX([1]!Product_Pricing_Table[#Data],MATCH(CM$1,Products,0),2)="Cores",IF(HostBuild[Use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29" s="59">
        <f>IFERROR(IF(FIND(CN$1,$W29)&gt;0,IF(INDEX([1]!Product_Pricing_Table[#Data],MATCH(CN$1,Products,0),2)="Cores",IF(HostBuild[Use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29" s="59">
        <f>IFERROR(IF(FIND(CO$1,$W29)&gt;0,IF(INDEX([1]!Product_Pricing_Table[#Data],MATCH(CO$1,Products,0),2)="Cores",IF(HostBuild[Use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29" s="59">
        <f>IFERROR(IF(FIND(CP$1,$W29)&gt;0,IF(INDEX([1]!Product_Pricing_Table[#Data],MATCH(CP$1,Products,0),2)="Cores",IF(HostBuild[Use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29" s="59">
        <f>IFERROR(IF(FIND(CQ$1,$W29)&gt;0,IF(INDEX([1]!Product_Pricing_Table[#Data],MATCH(CQ$1,Products,0),2)="Cores",IF(HostBuild[Use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29" s="59">
        <f>IFERROR(IF(FIND(CR$1,$W29)&gt;0,IF(INDEX([1]!Product_Pricing_Table[#Data],MATCH(CR$1,Products,0),2)="Cores",IF(HostBuild[Use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29" s="59">
        <f>IFERROR(IF(FIND(CS$1,$W29)&gt;0,IF(INDEX([1]!Product_Pricing_Table[#Data],MATCH(CS$1,Products,0),2)="Cores",IF(HostBuild[Use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29" s="59">
        <f>IFERROR(IF(FIND(CT$1,$W29)&gt;0,IF(INDEX([1]!Product_Pricing_Table[#Data],MATCH(CT$1,Products,0),2)="Cores",IF(HostBuild[Use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29" s="59">
        <f>IFERROR(IF(FIND(CU$1,$W29)&gt;0,IF(INDEX([1]!Product_Pricing_Table[#Data],MATCH(CU$1,Products,0),2)="Cores",IF(HostBuild[Use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29" s="59">
        <f>IFERROR(IF(FIND(CV$1,$W29)&gt;0,IF(INDEX([1]!Product_Pricing_Table[#Data],MATCH(CV$1,Products,0),2)="Cores",IF(HostBuild[Use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29" s="59">
        <f>IFERROR(IF(FIND(CW$1,$W29)&gt;0,IF(INDEX([1]!Product_Pricing_Table[#Data],MATCH(CW$1,Products,0),2)="Cores",IF(HostBuild[Use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29" s="59">
        <f>IFERROR(IF(FIND(CX$1,$W29)&gt;0,IF(INDEX([1]!Product_Pricing_Table[#Data],MATCH(CX$1,Products,0),2)="Cores",IF(HostBuild[Use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29" s="59">
        <f>IFERROR(IF(FIND(CY$1,$W29)&gt;0,IF(INDEX([1]!Product_Pricing_Table[#Data],MATCH(CY$1,Products,0),2)="Cores",IF(HostBuild[Use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29" s="59">
        <f>IFERROR(IF(FIND(CZ$1,$W29)&gt;0,IF(INDEX([1]!Product_Pricing_Table[#Data],MATCH(CZ$1,Products,0),2)="Cores",IF(HostBuild[Use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29" s="59">
        <f>IFERROR(IF(FIND(DA$1,$W29)&gt;0,IF(INDEX([1]!Product_Pricing_Table[#Data],MATCH(DA$1,Products,0),2)="Cores",IF(HostBuild[Use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29" s="59">
        <f>IFERROR(IF(FIND(DB$1,$W29)&gt;0,IF(INDEX([1]!Product_Pricing_Table[#Data],MATCH(DB$1,Products,0),2)="Cores",IF(HostBuild[Use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29" s="59">
        <f>IFERROR(IF(FIND(DC$1,$W29)&gt;0,IF(INDEX([1]!Product_Pricing_Table[#Data],MATCH(DC$1,Products,0),2)="Cores",IF(HostBuild[Use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29" s="59">
        <f>IFERROR(IF(FIND(DD$1,$W29)&gt;0,IF(INDEX([1]!Product_Pricing_Table[#Data],MATCH(DD$1,Products,0),2)="Cores",IF(HostBuild[Use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29" s="59">
        <f>IFERROR(IF(FIND(DE$1,$W29)&gt;0,IF(INDEX([1]!Product_Pricing_Table[#Data],MATCH(DE$1,Products,0),2)="Cores",IF(HostBuild[Use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29" s="60">
        <f>IFERROR(IF(FIND(DF$1,$W29)&gt;0,IF(INDEX([1]!Product_Pricing_Table[#Data],MATCH(DF$1,Products,0),2)="Cores",IF(HostBuild[Use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29" s="60">
        <f>IFERROR(IF(FIND(DG$1,$W29)&gt;0,IF(INDEX([1]!Product_Pricing_Table[#Data],MATCH(DG$1,Products,0),2)="Cores",IF(HostBuild[Use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29" s="59">
        <f>IFERROR(IF(FIND(DH$1,$W29)&gt;0,IF(INDEX([1]!Product_Pricing_Table[#Data],MATCH(DH$1,Products,0),2)="Cores",IF(HostBuild[Use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29" s="60">
        <f>IFERROR(IF(FIND(DI$1,$W29)&gt;0,IF(INDEX([1]!Product_Pricing_Table[#Data],MATCH(DI$1,Products,0),2)="Cores",IF(HostBuild[Use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29" s="59">
        <f>IFERROR(IF(FIND(DJ$1,$W29)&gt;0,IF(INDEX([1]!Product_Pricing_Table[#Data],MATCH(DJ$1,Products,0),2)="Cores",IF(HostBuild[Use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29" s="59">
        <f>IFERROR(IF(FIND(DK$1,$W29)&gt;0,IF(INDEX([1]!Product_Pricing_Table[#Data],MATCH(DK$1,Products,0),2)="Cores",IF(HostBuild[Use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29" s="59">
        <f>IFERROR(IF(FIND(DL$1,$W29)&gt;0,IF(INDEX([1]!Product_Pricing_Table[#Data],MATCH(DL$1,Products,0),2)="Cores",IF(HostBuild[Use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29" s="59">
        <f>IFERROR(IF(FIND(DM$1,$W29)&gt;0,IF(INDEX([1]!Product_Pricing_Table[#Data],MATCH(DM$1,Products,0),2)="Cores",IF(HostBuild[Use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29" s="59">
        <f>IFERROR(IF(FIND(DN$1,$W29)&gt;0,IF(INDEX([1]!Product_Pricing_Table[#Data],MATCH(DN$1,Products,0),2)="Cores",IF(HostBuild[Use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29" s="59">
        <f>IFERROR(IF(FIND(DO$1,$W29)&gt;0,IF(INDEX([1]!Product_Pricing_Table[#Data],MATCH(DO$1,Products,0),2)="Cores",IF(HostBuild[Use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29" s="59">
        <f>IFERROR(IF(FIND(DP$1,$W29)&gt;0,IF(INDEX([1]!Product_Pricing_Table[#Data],MATCH(DP$1,Products,0),2)="Cores",IF(HostBuild[Use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29" s="59">
        <f>IFERROR(IF(FIND(DQ$1,$W29)&gt;0,IF(INDEX([1]!Product_Pricing_Table[#Data],MATCH(DQ$1,Products,0),2)="Cores",IF(HostBuild[Use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29" s="59">
        <f>IFERROR(IF(FIND(DR$1,$W29)&gt;0,IF(INDEX([1]!Product_Pricing_Table[#Data],MATCH(DR$1,Products,0),2)="Cores",IF(HostBuild[Use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29" s="59">
        <f>IFERROR(IF(FIND(DS$1,$W29)&gt;0,IF(INDEX([1]!Product_Pricing_Table[#Data],MATCH(DS$1,Products,0),2)="Cores",IF(HostBuild[Use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29" s="59">
        <f>IFERROR(IF(FIND(DT$1,$W29)&gt;0,IF(INDEX([1]!Product_Pricing_Table[#Data],MATCH(DT$1,Products,0),2)="Cores",IF(HostBuild[Use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29" s="59">
        <f>IFERROR(IF(FIND(DU$1,$W29)&gt;0,IF(INDEX([1]!Product_Pricing_Table[#Data],MATCH(DU$1,Products,0),2)="Cores",IF(HostBuild[Use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29" s="59">
        <f>IFERROR(IF(FIND(DV$1,$W29)&gt;0,IF(INDEX([1]!Product_Pricing_Table[#Data],MATCH(DV$1,Products,0),2)="Cores",IF(HostBuild[Use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29" s="59">
        <f>IFERROR(IF(FIND(DW$1,$W29)&gt;0,IF(INDEX([1]!Product_Pricing_Table[#Data],MATCH(DW$1,Products,0),2)="Cores",IF(HostBuild[Use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29" s="59">
        <f>IFERROR(IF(FIND(DX$1,$W29)&gt;0,IF(INDEX([1]!Product_Pricing_Table[#Data],MATCH(DX$1,Products,0),2)="Cores",IF(HostBuild[Use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29" s="59">
        <f>IFERROR(IF(FIND(DY$1,$W29)&gt;0,IF(INDEX([1]!Product_Pricing_Table[#Data],MATCH(DY$1,Products,0),2)="Cores",IF(HostBuild[Use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29" s="59">
        <f>IFERROR(IF(FIND(DZ$1,$W29)&gt;0,IF(INDEX([1]!Product_Pricing_Table[#Data],MATCH(DZ$1,Products,0),2)="Cores",IF(HostBuild[Use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29" s="59">
        <f>IFERROR(IF(FIND(EA$1,$W29)&gt;0,IF(INDEX([1]!Product_Pricing_Table[#Data],MATCH(EA$1,Products,0),2)="Cores",IF(HostBuild[Use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29" s="59">
        <f>IFERROR(IF(FIND(EB$1,$W29)&gt;0,IF(INDEX([1]!Product_Pricing_Table[#Data],MATCH(EB$1,Products,0),2)="Cores",IF(HostBuild[Use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29" s="60">
        <f>IFERROR(IF(FIND(EC$1,$W29)&gt;0,IF(INDEX([1]!Product_Pricing_Table[#Data],MATCH(EC$1,Products,0),2)="Cores",IF(HostBuild[Use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29" s="59">
        <f>IFERROR(IF(FIND(ED$1,$W29)&gt;0,IF(INDEX([1]!Product_Pricing_Table[#Data],MATCH(ED$1,Products,0),2)="Cores",IF(HostBuild[Use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29" s="59">
        <f>IFERROR(IF(FIND(EE$1,$W29)&gt;0,IF(INDEX([1]!Product_Pricing_Table[#Data],MATCH(EE$1,Products,0),2)="Cores",IF(HostBuild[Use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29" s="59">
        <f>IFERROR(IF(FIND(EF$1,$W29)&gt;0,IF(INDEX([1]!Product_Pricing_Table[#Data],MATCH(EF$1,Products,0),2)="Cores",IF(HostBuild[Use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29" s="59">
        <f>IFERROR(IF(FIND(EG$1,$W29)&gt;0,IF(INDEX([1]!Product_Pricing_Table[#Data],MATCH(EG$1,Products,0),2)="Cores",IF(HostBuild[Use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29" s="59">
        <f>IFERROR(IF(FIND(EH$1,$W29)&gt;0,IF(INDEX([1]!Product_Pricing_Table[#Data],MATCH(EH$1,Products,0),2)="Cores",IF(HostBuild[Use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29" s="59">
        <f>IFERROR(IF(FIND(EI$1,$W29)&gt;0,IF(INDEX([1]!Product_Pricing_Table[#Data],MATCH(EI$1,Products,0),2)="Cores",IF(HostBuild[Use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29" s="59">
        <f>IFERROR(IF(FIND(EJ$1,$W29)&gt;0,IF(INDEX([1]!Product_Pricing_Table[#Data],MATCH(EJ$1,Products,0),2)="Cores",IF(HostBuild[Use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29" s="60">
        <f>IFERROR(IF(FIND(EK$1,$W29)&gt;0,IF(INDEX([1]!Product_Pricing_Table[#Data],MATCH(EK$1,Products,0),2)="Cores",IF(HostBuild[Use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29" s="61"/>
      <c r="EM29" s="62">
        <v>0</v>
      </c>
      <c r="EN29" s="63">
        <v>0</v>
      </c>
      <c r="EO29"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2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271.95900000000006</v>
      </c>
      <c r="EQ29" s="132">
        <f>(HostBuild[Archive
Full (GB)]+HostBuild[Archive
Incr (GB)])*Storage_DC_Dist_Tape_2014</f>
        <v>20.235687500000001</v>
      </c>
      <c r="ER29" s="132">
        <f>IF(ISNUMBER(HostBuild[Server HW Costs
(Monthly)]),SUM(HostBuild[[#This Row],[Server HW Costs
(Monthly)]:[Tape Costs
(Monthly)]]),0)</f>
        <v>292.19468750000004</v>
      </c>
      <c r="ES29" s="65">
        <f>HostBuild[Software Costs
'[Year 1']
(Monthly)]+HostBuild[Total Hardware Costs
(Monthly)]</f>
        <v>292.19468750000004</v>
      </c>
      <c r="ET29" s="65">
        <f>IFERROR(IF(FIND("Safenet",HostBuild[Server Model]),Safenet_PSE_PL600_Maint,0),0)+IFERROR(IF(FIND("XI52",HostBuild[Server Model]),IBM_DIA_XI52_Maint,0),0)+HostBuild[Software Costs
'[After Year 1']
(Monthly)]+HostBuild[Total Hardware Costs
(Monthly)]</f>
        <v>292.19468750000004</v>
      </c>
      <c r="EU29" s="66">
        <f>SUM(HostBuild[[#This Row],[Server Cost Breakdown]:[Network Cost]])</f>
        <v>0</v>
      </c>
      <c r="EV29" s="67">
        <f>IF(HostBuild[Existing Server?]="Yes - Inside this BoM",0,SUMIF(HostBuild[Alias],HostBuild[Alias],HostBuild[CPU])+SUMIF(HostBuild[Alias],HostBuild[Alias],HostBuild[Existing CPUs]))</f>
        <v>0</v>
      </c>
      <c r="EW29" s="67">
        <f>IF(HostBuild[Existing Server?]="Yes - Inside this BoM",0,SUMIF(HostBuild[Alias],HostBuild[Alias],HostBuild[Cores 
(Licensed Units)])+SUMIF(HostBuild[Alias],HostBuild[Alias],HostBuild[Existing Cores]))</f>
        <v>0</v>
      </c>
      <c r="EX29" s="67">
        <f>IF(HostBuild[Existing Server?]="Yes - Inside this BoM",0,SUMIF(HostBuild[Alias],HostBuild[Alias],HostBuild[RAM 
(GB)])+SUMIF(HostBuild[Alias],HostBuild[Alias],HostBuild[Existing RAM (GB)]))</f>
        <v>0</v>
      </c>
      <c r="EY2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2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2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2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29" s="66">
        <f>IF(ISBLANK(HostBuild[Server Model]),0,IF(HostBuild[Server Tier]="VMware",0,VLOOKUP(HostBuild[Server Tier],[1]!ServerTierRates[#Data],2,0))*HostBuild[CPU]*IF(AND(HostBuild[Server Type]="pSeries",HostBuild[Virtual Platform Storage Type]="Cloud-SAN"),0.25,1))</f>
        <v>0</v>
      </c>
      <c r="FD29" s="66">
        <f>0</f>
        <v>0</v>
      </c>
      <c r="FE29" s="66">
        <f>IF(HostBuild[Server Type]="VMware",HostBuild[RAM 
(GB)]*IF(ISERROR(FIND("DevCloud", HostBuild[Server Model])&gt;0),vRAM_per_vCPU_2014_Monthly,vRAM_per_vCPU_2014_Daily*30),0)</f>
        <v>0</v>
      </c>
      <c r="FF2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2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29" s="69">
        <f>IF(HostBuild[Server Tier]="VMware",0,IF(LEFT(HostBuild[Existing Server?],3)="Yes",0,IF(OR(HostBuild[Server Type]="Sun",HostBuild[Server Type]="pSeries"),Support_Direct_Server_Sun_per_OS_2014,IF(HostBuild[Server Type]="x86",Support_Direct_Server_x86_Wintel_per_OS_2014,0))))</f>
        <v>0</v>
      </c>
      <c r="FI2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0" spans="1:165" hidden="1">
      <c r="A30" s="122" t="s">
        <v>53</v>
      </c>
      <c r="B30" s="36"/>
      <c r="C30" s="36"/>
      <c r="D30" s="36"/>
      <c r="E30" s="37"/>
      <c r="F30" s="37"/>
      <c r="G30" s="103"/>
      <c r="H30" s="103"/>
      <c r="I30" s="38"/>
      <c r="J30" s="37"/>
      <c r="K30" s="37"/>
      <c r="L30" s="37"/>
      <c r="M30" s="103" t="e">
        <f ca="1">IF(rngIsDate(HostBuild[CTO Acceptance]),"Y","N")</f>
        <v>#NAME?</v>
      </c>
      <c r="N30" s="123" t="s">
        <v>4</v>
      </c>
      <c r="O30" s="39"/>
      <c r="P30" s="39"/>
      <c r="Q30" s="123" t="s">
        <v>0</v>
      </c>
      <c r="R30" s="126" t="str">
        <f>IF(NOT(ISBLANK(HostBuild[Env Label])),IFERROR(VLOOKUP(HostBuild[Env Label],[1]!tEnv[#Data],3,FALSE),""),"")</f>
        <v/>
      </c>
      <c r="S30" s="104"/>
      <c r="T30" s="40"/>
      <c r="U30" s="105"/>
      <c r="V30" s="123" t="s">
        <v>110</v>
      </c>
      <c r="W30" s="123" t="s">
        <v>108</v>
      </c>
      <c r="X30" s="123" t="s">
        <v>99</v>
      </c>
      <c r="Y30" s="123" t="s">
        <v>58</v>
      </c>
      <c r="Z30" s="126" t="str">
        <f>IF(NOT(ISBLANK(HostBuild[[#This Row],[Product 
(Acronym)]])),CONCATENATE(HostBuild[[#This Row],[Type]],"-",HostBuild[[#This Row],[Product 
(Acronym)]]),"")</f>
        <v>DB-ESB</v>
      </c>
      <c r="AA30" s="106"/>
      <c r="AB30" s="106" t="s">
        <v>59</v>
      </c>
      <c r="AC30" s="41"/>
      <c r="AD30" s="42"/>
      <c r="AE30" s="42"/>
      <c r="AF30" s="43" t="s">
        <v>60</v>
      </c>
      <c r="AG30" s="124"/>
      <c r="AH30" s="107"/>
      <c r="AI30" s="124" t="s">
        <v>111</v>
      </c>
      <c r="AJ30" s="123">
        <f>IF(COUNTIF(HostBuild[Alias],HostBuild[Alias]),1/COUNTIF(HostBuild[Alias],HostBuild[Alias]),0)</f>
        <v>1</v>
      </c>
      <c r="AK30" s="124"/>
      <c r="AL30" s="124"/>
      <c r="AM30" s="44" t="s">
        <v>101</v>
      </c>
      <c r="AN30" s="45" t="str">
        <f>IF(NOT(ISBLANK(HostBuild[Server Model])),VLOOKUP(HostBuild[Server Model],[1]!ServerModelsTier[#Data],2,FALSE),"")</f>
        <v>IBM P-Series Tier 2</v>
      </c>
      <c r="AO30" s="45" t="str">
        <f>IF(NOT(ISBLANK(HostBuild[Server Model])),VLOOKUP(HostBuild[Server Model],[1]!ServerModelsTier[#Data],5,FALSE),"")</f>
        <v>pSeries</v>
      </c>
      <c r="AP30" s="44"/>
      <c r="AQ30" s="44" t="s">
        <v>102</v>
      </c>
      <c r="AR30" s="46"/>
      <c r="AS30" s="108"/>
      <c r="AT30" s="47"/>
      <c r="AU30" s="109"/>
      <c r="AV30" s="48"/>
      <c r="AW30" s="124"/>
      <c r="AX30" s="124"/>
      <c r="AY30" s="124"/>
      <c r="AZ30" s="49"/>
      <c r="BA30" s="124"/>
      <c r="BB30" s="124"/>
      <c r="BC30" s="42"/>
      <c r="BD30" s="124"/>
      <c r="BE30" s="124"/>
      <c r="BF30" s="124"/>
      <c r="BG30" s="124"/>
      <c r="BH30" s="124"/>
      <c r="BI30" s="124"/>
      <c r="BJ30" s="124"/>
      <c r="BK30"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30" s="127"/>
      <c r="BM30" s="129">
        <f>IF(ISNUMBER(HostBuild[Recommended SAN (GB)]),HostBuild[Recommended SAN (GB)])+IF(HostBuild[Additional SAN (GB)]&gt;0,CEILING(HostBuild[Additional SAN (GB)],LUN),-(CEILING(-HostBuild[Additional SAN (GB)],LUN)))</f>
        <v>0</v>
      </c>
      <c r="BN30" s="128"/>
      <c r="BO30" s="129">
        <f>HostBuild[SAN (GB)
NEEDED TODAY]+CEILING(HostBuild[SAN (GB)
RESERVED
DO NOT USE TO BUILD], LUN)</f>
        <v>0</v>
      </c>
      <c r="BP30" s="130"/>
      <c r="BQ30" s="131"/>
      <c r="BR30" s="125" t="s">
        <v>64</v>
      </c>
      <c r="BS30" s="110">
        <f>IF(HostBuild[Existing Server?]&lt;&gt;"Yes - Inside this BoM",IF(ISNUMBER(HostBuild[RAM 
(GB)]),IF(HostBuild[Existing RAM (GB)]+HostBuild[RAM 
(GB)]&gt;0,IF(HostBuild[Virtual Platform Storage Type]="NAS",110+HostBuild[Existing RAM (GB)]+HostBuild[RAM 
(GB)]*1.75,0),0),0),0)</f>
        <v>0</v>
      </c>
      <c r="BT30" s="111"/>
      <c r="BU30" s="112">
        <f>IF(ISNUMBER(HostBuild[Recommended NAS (GB)]),HostBuild[Recommended NAS (GB)])+HostBuild[Additional NAS (GB)]</f>
        <v>0</v>
      </c>
      <c r="BV30" s="50"/>
      <c r="BW30" s="50"/>
      <c r="BX30" s="133">
        <f>IFERROR((HostBuild[SAN (GB)
End-State
DO NOT USE TO BUILD]+HostBuild[SAN (GB) Shared])*25%,"")</f>
        <v>0</v>
      </c>
      <c r="BY30" s="113">
        <f>IFERROR(HostBuild[Archive
Full (GB)]*15%,"")</f>
        <v>0</v>
      </c>
      <c r="BZ30" s="51"/>
      <c r="CA30" s="51"/>
      <c r="CB30" s="52"/>
      <c r="CC30" s="53"/>
      <c r="CD30" s="52"/>
      <c r="CE30" s="54"/>
      <c r="CF30" s="128"/>
      <c r="CG30" s="114"/>
      <c r="CH30" s="55"/>
      <c r="CI30" s="56"/>
      <c r="CJ30" s="57"/>
      <c r="CK30" s="58"/>
      <c r="CL30" s="59">
        <f>IFERROR(IF(FIND(CL$1,$W30)&gt;0,IF(INDEX([1]!Product_Pricing_Table[#Data],MATCH(CL$1,Products,0),2)="Cores",IF(HostBuild[Use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0" s="59">
        <f>IFERROR(IF(FIND(CM$1,$W30)&gt;0,IF(INDEX([1]!Product_Pricing_Table[#Data],MATCH(CM$1,Products,0),2)="Cores",IF(HostBuild[Use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0" s="59">
        <f>IFERROR(IF(FIND(CN$1,$W30)&gt;0,IF(INDEX([1]!Product_Pricing_Table[#Data],MATCH(CN$1,Products,0),2)="Cores",IF(HostBuild[Use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0" s="59">
        <f>IFERROR(IF(FIND(CO$1,$W30)&gt;0,IF(INDEX([1]!Product_Pricing_Table[#Data],MATCH(CO$1,Products,0),2)="Cores",IF(HostBuild[Use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0" s="59">
        <f>IFERROR(IF(FIND(CP$1,$W30)&gt;0,IF(INDEX([1]!Product_Pricing_Table[#Data],MATCH(CP$1,Products,0),2)="Cores",IF(HostBuild[Use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0" s="59">
        <f>IFERROR(IF(FIND(CQ$1,$W30)&gt;0,IF(INDEX([1]!Product_Pricing_Table[#Data],MATCH(CQ$1,Products,0),2)="Cores",IF(HostBuild[Use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0" s="59">
        <f>IFERROR(IF(FIND(CR$1,$W30)&gt;0,IF(INDEX([1]!Product_Pricing_Table[#Data],MATCH(CR$1,Products,0),2)="Cores",IF(HostBuild[Use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0" s="59">
        <f>IFERROR(IF(FIND(CS$1,$W30)&gt;0,IF(INDEX([1]!Product_Pricing_Table[#Data],MATCH(CS$1,Products,0),2)="Cores",IF(HostBuild[Use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0" s="59">
        <f>IFERROR(IF(FIND(CT$1,$W30)&gt;0,IF(INDEX([1]!Product_Pricing_Table[#Data],MATCH(CT$1,Products,0),2)="Cores",IF(HostBuild[Use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0" s="59">
        <f>IFERROR(IF(FIND(CU$1,$W30)&gt;0,IF(INDEX([1]!Product_Pricing_Table[#Data],MATCH(CU$1,Products,0),2)="Cores",IF(HostBuild[Use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0" s="59">
        <f>IFERROR(IF(FIND(CV$1,$W30)&gt;0,IF(INDEX([1]!Product_Pricing_Table[#Data],MATCH(CV$1,Products,0),2)="Cores",IF(HostBuild[Use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0" s="59">
        <f>IFERROR(IF(FIND(CW$1,$W30)&gt;0,IF(INDEX([1]!Product_Pricing_Table[#Data],MATCH(CW$1,Products,0),2)="Cores",IF(HostBuild[Use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0" s="59">
        <f>IFERROR(IF(FIND(CX$1,$W30)&gt;0,IF(INDEX([1]!Product_Pricing_Table[#Data],MATCH(CX$1,Products,0),2)="Cores",IF(HostBuild[Use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0" s="59">
        <f>IFERROR(IF(FIND(CY$1,$W30)&gt;0,IF(INDEX([1]!Product_Pricing_Table[#Data],MATCH(CY$1,Products,0),2)="Cores",IF(HostBuild[Use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0" s="59">
        <f>IFERROR(IF(FIND(CZ$1,$W30)&gt;0,IF(INDEX([1]!Product_Pricing_Table[#Data],MATCH(CZ$1,Products,0),2)="Cores",IF(HostBuild[Use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0" s="59">
        <f>IFERROR(IF(FIND(DA$1,$W30)&gt;0,IF(INDEX([1]!Product_Pricing_Table[#Data],MATCH(DA$1,Products,0),2)="Cores",IF(HostBuild[Use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0" s="59">
        <f>IFERROR(IF(FIND(DB$1,$W30)&gt;0,IF(INDEX([1]!Product_Pricing_Table[#Data],MATCH(DB$1,Products,0),2)="Cores",IF(HostBuild[Use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0" s="59">
        <f>IFERROR(IF(FIND(DC$1,$W30)&gt;0,IF(INDEX([1]!Product_Pricing_Table[#Data],MATCH(DC$1,Products,0),2)="Cores",IF(HostBuild[Use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0" s="59">
        <f>IFERROR(IF(FIND(DD$1,$W30)&gt;0,IF(INDEX([1]!Product_Pricing_Table[#Data],MATCH(DD$1,Products,0),2)="Cores",IF(HostBuild[Use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0" s="59">
        <f>IFERROR(IF(FIND(DE$1,$W30)&gt;0,IF(INDEX([1]!Product_Pricing_Table[#Data],MATCH(DE$1,Products,0),2)="Cores",IF(HostBuild[Use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0" s="60">
        <f>IFERROR(IF(FIND(DF$1,$W30)&gt;0,IF(INDEX([1]!Product_Pricing_Table[#Data],MATCH(DF$1,Products,0),2)="Cores",IF(HostBuild[Use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0" s="60">
        <f>IFERROR(IF(FIND(DG$1,$W30)&gt;0,IF(INDEX([1]!Product_Pricing_Table[#Data],MATCH(DG$1,Products,0),2)="Cores",IF(HostBuild[Use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0" s="59">
        <f>IFERROR(IF(FIND(DH$1,$W30)&gt;0,IF(INDEX([1]!Product_Pricing_Table[#Data],MATCH(DH$1,Products,0),2)="Cores",IF(HostBuild[Use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0" s="60">
        <f>IFERROR(IF(FIND(DI$1,$W30)&gt;0,IF(INDEX([1]!Product_Pricing_Table[#Data],MATCH(DI$1,Products,0),2)="Cores",IF(HostBuild[Use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0" s="59">
        <f>IFERROR(IF(FIND(DJ$1,$W30)&gt;0,IF(INDEX([1]!Product_Pricing_Table[#Data],MATCH(DJ$1,Products,0),2)="Cores",IF(HostBuild[Use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0" s="59">
        <f>IFERROR(IF(FIND(DK$1,$W30)&gt;0,IF(INDEX([1]!Product_Pricing_Table[#Data],MATCH(DK$1,Products,0),2)="Cores",IF(HostBuild[Use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0" s="59">
        <f>IFERROR(IF(FIND(DL$1,$W30)&gt;0,IF(INDEX([1]!Product_Pricing_Table[#Data],MATCH(DL$1,Products,0),2)="Cores",IF(HostBuild[Use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0" s="59">
        <f>IFERROR(IF(FIND(DM$1,$W30)&gt;0,IF(INDEX([1]!Product_Pricing_Table[#Data],MATCH(DM$1,Products,0),2)="Cores",IF(HostBuild[Use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0" s="59">
        <f>IFERROR(IF(FIND(DN$1,$W30)&gt;0,IF(INDEX([1]!Product_Pricing_Table[#Data],MATCH(DN$1,Products,0),2)="Cores",IF(HostBuild[Use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0" s="59">
        <f>IFERROR(IF(FIND(DO$1,$W30)&gt;0,IF(INDEX([1]!Product_Pricing_Table[#Data],MATCH(DO$1,Products,0),2)="Cores",IF(HostBuild[Use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0" s="59">
        <f>IFERROR(IF(FIND(DP$1,$W30)&gt;0,IF(INDEX([1]!Product_Pricing_Table[#Data],MATCH(DP$1,Products,0),2)="Cores",IF(HostBuild[Use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0" s="59">
        <f>IFERROR(IF(FIND(DQ$1,$W30)&gt;0,IF(INDEX([1]!Product_Pricing_Table[#Data],MATCH(DQ$1,Products,0),2)="Cores",IF(HostBuild[Use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0" s="59">
        <f>IFERROR(IF(FIND(DR$1,$W30)&gt;0,IF(INDEX([1]!Product_Pricing_Table[#Data],MATCH(DR$1,Products,0),2)="Cores",IF(HostBuild[Use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0" s="59">
        <f>IFERROR(IF(FIND(DS$1,$W30)&gt;0,IF(INDEX([1]!Product_Pricing_Table[#Data],MATCH(DS$1,Products,0),2)="Cores",IF(HostBuild[Use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0" s="59">
        <f>IFERROR(IF(FIND(DT$1,$W30)&gt;0,IF(INDEX([1]!Product_Pricing_Table[#Data],MATCH(DT$1,Products,0),2)="Cores",IF(HostBuild[Use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0" s="59">
        <f>IFERROR(IF(FIND(DU$1,$W30)&gt;0,IF(INDEX([1]!Product_Pricing_Table[#Data],MATCH(DU$1,Products,0),2)="Cores",IF(HostBuild[Use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0" s="59">
        <f>IFERROR(IF(FIND(DV$1,$W30)&gt;0,IF(INDEX([1]!Product_Pricing_Table[#Data],MATCH(DV$1,Products,0),2)="Cores",IF(HostBuild[Use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0" s="59">
        <f>IFERROR(IF(FIND(DW$1,$W30)&gt;0,IF(INDEX([1]!Product_Pricing_Table[#Data],MATCH(DW$1,Products,0),2)="Cores",IF(HostBuild[Use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0" s="59">
        <f>IFERROR(IF(FIND(DX$1,$W30)&gt;0,IF(INDEX([1]!Product_Pricing_Table[#Data],MATCH(DX$1,Products,0),2)="Cores",IF(HostBuild[Use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0" s="59">
        <f>IFERROR(IF(FIND(DY$1,$W30)&gt;0,IF(INDEX([1]!Product_Pricing_Table[#Data],MATCH(DY$1,Products,0),2)="Cores",IF(HostBuild[Use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0" s="59">
        <f>IFERROR(IF(FIND(DZ$1,$W30)&gt;0,IF(INDEX([1]!Product_Pricing_Table[#Data],MATCH(DZ$1,Products,0),2)="Cores",IF(HostBuild[Use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0" s="59">
        <f>IFERROR(IF(FIND(EA$1,$W30)&gt;0,IF(INDEX([1]!Product_Pricing_Table[#Data],MATCH(EA$1,Products,0),2)="Cores",IF(HostBuild[Use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0" s="59">
        <f>IFERROR(IF(FIND(EB$1,$W30)&gt;0,IF(INDEX([1]!Product_Pricing_Table[#Data],MATCH(EB$1,Products,0),2)="Cores",IF(HostBuild[Use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0" s="60">
        <f>IFERROR(IF(FIND(EC$1,$W30)&gt;0,IF(INDEX([1]!Product_Pricing_Table[#Data],MATCH(EC$1,Products,0),2)="Cores",IF(HostBuild[Use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0" s="59">
        <f>IFERROR(IF(FIND(ED$1,$W30)&gt;0,IF(INDEX([1]!Product_Pricing_Table[#Data],MATCH(ED$1,Products,0),2)="Cores",IF(HostBuild[Use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0" s="59">
        <f>IFERROR(IF(FIND(EE$1,$W30)&gt;0,IF(INDEX([1]!Product_Pricing_Table[#Data],MATCH(EE$1,Products,0),2)="Cores",IF(HostBuild[Use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0" s="59">
        <f>IFERROR(IF(FIND(EF$1,$W30)&gt;0,IF(INDEX([1]!Product_Pricing_Table[#Data],MATCH(EF$1,Products,0),2)="Cores",IF(HostBuild[Use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0" s="59">
        <f>IFERROR(IF(FIND(EG$1,$W30)&gt;0,IF(INDEX([1]!Product_Pricing_Table[#Data],MATCH(EG$1,Products,0),2)="Cores",IF(HostBuild[Use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0" s="59">
        <f>IFERROR(IF(FIND(EH$1,$W30)&gt;0,IF(INDEX([1]!Product_Pricing_Table[#Data],MATCH(EH$1,Products,0),2)="Cores",IF(HostBuild[Use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0" s="59">
        <f>IFERROR(IF(FIND(EI$1,$W30)&gt;0,IF(INDEX([1]!Product_Pricing_Table[#Data],MATCH(EI$1,Products,0),2)="Cores",IF(HostBuild[Use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0" s="59">
        <f>IFERROR(IF(FIND(EJ$1,$W30)&gt;0,IF(INDEX([1]!Product_Pricing_Table[#Data],MATCH(EJ$1,Products,0),2)="Cores",IF(HostBuild[Use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0" s="60">
        <f>IFERROR(IF(FIND(EK$1,$W30)&gt;0,IF(INDEX([1]!Product_Pricing_Table[#Data],MATCH(EK$1,Products,0),2)="Cores",IF(HostBuild[Use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0" s="61"/>
      <c r="EM30" s="62">
        <v>0</v>
      </c>
      <c r="EN30" s="63">
        <v>0</v>
      </c>
      <c r="EO30"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3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0" s="132">
        <f>(HostBuild[Archive
Full (GB)]+HostBuild[Archive
Incr (GB)])*Storage_DC_Dist_Tape_2014</f>
        <v>0</v>
      </c>
      <c r="ER30" s="132">
        <f>IF(ISNUMBER(HostBuild[Server HW Costs
(Monthly)]),SUM(HostBuild[[#This Row],[Server HW Costs
(Monthly)]:[Tape Costs
(Monthly)]]),0)</f>
        <v>0</v>
      </c>
      <c r="ES30" s="65">
        <f>HostBuild[Software Costs
'[Year 1']
(Monthly)]+HostBuild[Total Hardware Costs
(Monthly)]</f>
        <v>0</v>
      </c>
      <c r="ET30" s="65">
        <f>IFERROR(IF(FIND("Safenet",HostBuild[Server Model]),Safenet_PSE_PL600_Maint,0),0)+IFERROR(IF(FIND("XI52",HostBuild[Server Model]),IBM_DIA_XI52_Maint,0),0)+HostBuild[Software Costs
'[After Year 1']
(Monthly)]+HostBuild[Total Hardware Costs
(Monthly)]</f>
        <v>0</v>
      </c>
      <c r="EU30" s="66">
        <f>SUM(HostBuild[[#This Row],[Server Cost Breakdown]:[Network Cost]])</f>
        <v>0</v>
      </c>
      <c r="EV30" s="67">
        <f>IF(HostBuild[Existing Server?]="Yes - Inside this BoM",0,SUMIF(HostBuild[Alias],HostBuild[Alias],HostBuild[CPU])+SUMIF(HostBuild[Alias],HostBuild[Alias],HostBuild[Existing CPUs]))</f>
        <v>0</v>
      </c>
      <c r="EW30" s="67">
        <f>IF(HostBuild[Existing Server?]="Yes - Inside this BoM",0,SUMIF(HostBuild[Alias],HostBuild[Alias],HostBuild[Cores 
(Licensed Units)])+SUMIF(HostBuild[Alias],HostBuild[Alias],HostBuild[Existing Cores]))</f>
        <v>0</v>
      </c>
      <c r="EX30" s="67">
        <f>IF(HostBuild[Existing Server?]="Yes - Inside this BoM",0,SUMIF(HostBuild[Alias],HostBuild[Alias],HostBuild[RAM 
(GB)])+SUMIF(HostBuild[Alias],HostBuild[Alias],HostBuild[Existing RAM (GB)]))</f>
        <v>0</v>
      </c>
      <c r="EY3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0" s="66">
        <f>IF(ISBLANK(HostBuild[Server Model]),0,IF(HostBuild[Server Tier]="VMware",0,VLOOKUP(HostBuild[Server Tier],[1]!ServerTierRates[#Data],2,0))*HostBuild[CPU]*IF(AND(HostBuild[Server Type]="pSeries",HostBuild[Virtual Platform Storage Type]="Cloud-SAN"),0.25,1))</f>
        <v>0</v>
      </c>
      <c r="FD30" s="66">
        <f>0</f>
        <v>0</v>
      </c>
      <c r="FE30" s="66">
        <f>IF(HostBuild[Server Type]="VMware",HostBuild[RAM 
(GB)]*IF(ISERROR(FIND("DevCloud", HostBuild[Server Model])&gt;0),vRAM_per_vCPU_2014_Monthly,vRAM_per_vCPU_2014_Daily*30),0)</f>
        <v>0</v>
      </c>
      <c r="FF3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0" s="69">
        <f>IF(HostBuild[Server Tier]="VMware",0,IF(LEFT(HostBuild[Existing Server?],3)="Yes",0,IF(OR(HostBuild[Server Type]="Sun",HostBuild[Server Type]="pSeries"),Support_Direct_Server_Sun_per_OS_2014,IF(HostBuild[Server Type]="x86",Support_Direct_Server_x86_Wintel_per_OS_2014,0))))</f>
        <v>0</v>
      </c>
      <c r="FI3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1" spans="1:165" hidden="1">
      <c r="A31" s="122" t="s">
        <v>53</v>
      </c>
      <c r="B31" s="36"/>
      <c r="C31" s="36"/>
      <c r="D31" s="36"/>
      <c r="E31" s="37"/>
      <c r="F31" s="37"/>
      <c r="G31" s="103"/>
      <c r="H31" s="103"/>
      <c r="I31" s="38"/>
      <c r="J31" s="37"/>
      <c r="K31" s="37"/>
      <c r="L31" s="37"/>
      <c r="M31" s="103" t="e">
        <f ca="1">IF(rngIsDate(HostBuild[CTO Acceptance]),"Y","N")</f>
        <v>#NAME?</v>
      </c>
      <c r="N31" s="123" t="s">
        <v>4</v>
      </c>
      <c r="O31" s="39"/>
      <c r="P31" s="39"/>
      <c r="Q31" s="123" t="s">
        <v>112</v>
      </c>
      <c r="R31" s="126" t="str">
        <f>IF(NOT(ISBLANK(HostBuild[Env Label])),IFERROR(VLOOKUP(HostBuild[Env Label],[1]!tEnv[#Data],3,FALSE),""),"")</f>
        <v/>
      </c>
      <c r="S31" s="104"/>
      <c r="T31" s="40"/>
      <c r="U31" s="105"/>
      <c r="V31" s="123" t="s">
        <v>97</v>
      </c>
      <c r="W31" s="123" t="s">
        <v>98</v>
      </c>
      <c r="X31" s="123" t="s">
        <v>99</v>
      </c>
      <c r="Y31" s="123" t="s">
        <v>58</v>
      </c>
      <c r="Z31" s="126" t="str">
        <f>IF(NOT(ISBLANK(HostBuild[[#This Row],[Product 
(Acronym)]])),CONCATENATE(HostBuild[[#This Row],[Type]],"-",HostBuild[[#This Row],[Product 
(Acronym)]]),"")</f>
        <v>DB-ESB</v>
      </c>
      <c r="AA31" s="106"/>
      <c r="AB31" s="106" t="s">
        <v>59</v>
      </c>
      <c r="AC31" s="41"/>
      <c r="AD31" s="42"/>
      <c r="AE31" s="42"/>
      <c r="AF31" s="43" t="s">
        <v>60</v>
      </c>
      <c r="AG31" s="124"/>
      <c r="AH31" s="107"/>
      <c r="AI31" s="124" t="s">
        <v>113</v>
      </c>
      <c r="AJ31" s="123">
        <f>IF(COUNTIF(HostBuild[Alias],HostBuild[Alias]),1/COUNTIF(HostBuild[Alias],HostBuild[Alias]),0)</f>
        <v>1</v>
      </c>
      <c r="AK31" s="124"/>
      <c r="AL31" s="124"/>
      <c r="AM31" s="44" t="s">
        <v>101</v>
      </c>
      <c r="AN31" s="45" t="str">
        <f>IF(NOT(ISBLANK(HostBuild[Server Model])),VLOOKUP(HostBuild[Server Model],[1]!ServerModelsTier[#Data],2,FALSE),"")</f>
        <v>IBM P-Series Tier 2</v>
      </c>
      <c r="AO31" s="45" t="str">
        <f>IF(NOT(ISBLANK(HostBuild[Server Model])),VLOOKUP(HostBuild[Server Model],[1]!ServerModelsTier[#Data],5,FALSE),"")</f>
        <v>pSeries</v>
      </c>
      <c r="AP31" s="44"/>
      <c r="AQ31" s="44" t="s">
        <v>102</v>
      </c>
      <c r="AR31" s="47">
        <v>2</v>
      </c>
      <c r="AS31" s="108"/>
      <c r="AT31" s="47">
        <v>2</v>
      </c>
      <c r="AU31" s="109"/>
      <c r="AV31" s="48">
        <v>128</v>
      </c>
      <c r="AW31" s="124"/>
      <c r="AX31" s="124"/>
      <c r="AY31" s="124"/>
      <c r="AZ31" s="49"/>
      <c r="BA31" s="124"/>
      <c r="BB31" s="124"/>
      <c r="BC31" s="42"/>
      <c r="BD31" s="124"/>
      <c r="BE31" s="124"/>
      <c r="BF31" s="124"/>
      <c r="BG31" s="124"/>
      <c r="BH31" s="124"/>
      <c r="BI31" s="124"/>
      <c r="BJ31" s="124"/>
      <c r="BK31"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31" s="127">
        <v>1300</v>
      </c>
      <c r="BM31" s="129">
        <f>IF(ISNUMBER(HostBuild[Recommended SAN (GB)]),HostBuild[Recommended SAN (GB)])+IF(HostBuild[Additional SAN (GB)]&gt;0,CEILING(HostBuild[Additional SAN (GB)],LUN),-(CEILING(-HostBuild[Additional SAN (GB)],LUN)))</f>
        <v>1314.3000000000002</v>
      </c>
      <c r="BN31" s="128"/>
      <c r="BO31" s="129">
        <f>HostBuild[SAN (GB)
NEEDED TODAY]+CEILING(HostBuild[SAN (GB)
RESERVED
DO NOT USE TO BUILD], LUN)</f>
        <v>1314.3000000000002</v>
      </c>
      <c r="BP31" s="130">
        <v>1000</v>
      </c>
      <c r="BQ31" s="131"/>
      <c r="BR31" s="125" t="s">
        <v>76</v>
      </c>
      <c r="BS31" s="110">
        <f>IF(HostBuild[Existing Server?]&lt;&gt;"Yes - Inside this BoM",IF(ISNUMBER(HostBuild[RAM 
(GB)]),IF(HostBuild[Existing RAM (GB)]+HostBuild[RAM 
(GB)]&gt;0,IF(HostBuild[Virtual Platform Storage Type]="NAS",110+HostBuild[Existing RAM (GB)]+HostBuild[RAM 
(GB)]*1.75,0),0),0),0)</f>
        <v>0</v>
      </c>
      <c r="BT31" s="111"/>
      <c r="BU31" s="112">
        <f>IF(ISNUMBER(HostBuild[Recommended NAS (GB)]),HostBuild[Recommended NAS (GB)])+HostBuild[Additional NAS (GB)]</f>
        <v>0</v>
      </c>
      <c r="BV31" s="50"/>
      <c r="BW31" s="50"/>
      <c r="BX31" s="133">
        <f>IFERROR((HostBuild[SAN (GB)
End-State
DO NOT USE TO BUILD]+HostBuild[SAN (GB) Shared])*25%,"")</f>
        <v>578.57500000000005</v>
      </c>
      <c r="BY31" s="113">
        <f>IFERROR(HostBuild[Archive
Full (GB)]*15%,"")</f>
        <v>86.78625000000001</v>
      </c>
      <c r="BZ31" s="51"/>
      <c r="CA31" s="51"/>
      <c r="CB31" s="52"/>
      <c r="CC31" s="53"/>
      <c r="CD31" s="52"/>
      <c r="CE31" s="54"/>
      <c r="CF31" s="128"/>
      <c r="CG31" s="114"/>
      <c r="CH31" s="55"/>
      <c r="CI31" s="56"/>
      <c r="CJ31" s="57"/>
      <c r="CK31" s="58"/>
      <c r="CL31" s="59">
        <f>IFERROR(IF(FIND(CL$1,$W31)&gt;0,IF(INDEX([1]!Product_Pricing_Table[#Data],MATCH(CL$1,Products,0),2)="Cores",IF(HostBuild[Use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1" s="59">
        <f>IFERROR(IF(FIND(CM$1,$W31)&gt;0,IF(INDEX([1]!Product_Pricing_Table[#Data],MATCH(CM$1,Products,0),2)="Cores",IF(HostBuild[Use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1" s="59">
        <f>IFERROR(IF(FIND(CN$1,$W31)&gt;0,IF(INDEX([1]!Product_Pricing_Table[#Data],MATCH(CN$1,Products,0),2)="Cores",IF(HostBuild[Use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1" s="59">
        <f>IFERROR(IF(FIND(CO$1,$W31)&gt;0,IF(INDEX([1]!Product_Pricing_Table[#Data],MATCH(CO$1,Products,0),2)="Cores",IF(HostBuild[Use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1" s="59">
        <f>IFERROR(IF(FIND(CP$1,$W31)&gt;0,IF(INDEX([1]!Product_Pricing_Table[#Data],MATCH(CP$1,Products,0),2)="Cores",IF(HostBuild[Use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1" s="59">
        <f>IFERROR(IF(FIND(CQ$1,$W31)&gt;0,IF(INDEX([1]!Product_Pricing_Table[#Data],MATCH(CQ$1,Products,0),2)="Cores",IF(HostBuild[Use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1" s="59">
        <f>IFERROR(IF(FIND(CR$1,$W31)&gt;0,IF(INDEX([1]!Product_Pricing_Table[#Data],MATCH(CR$1,Products,0),2)="Cores",IF(HostBuild[Use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1" s="59">
        <f>IFERROR(IF(FIND(CS$1,$W31)&gt;0,IF(INDEX([1]!Product_Pricing_Table[#Data],MATCH(CS$1,Products,0),2)="Cores",IF(HostBuild[Use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1" s="59">
        <f>IFERROR(IF(FIND(CT$1,$W31)&gt;0,IF(INDEX([1]!Product_Pricing_Table[#Data],MATCH(CT$1,Products,0),2)="Cores",IF(HostBuild[Use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1" s="59">
        <f>IFERROR(IF(FIND(CU$1,$W31)&gt;0,IF(INDEX([1]!Product_Pricing_Table[#Data],MATCH(CU$1,Products,0),2)="Cores",IF(HostBuild[Use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1" s="59">
        <f>IFERROR(IF(FIND(CV$1,$W31)&gt;0,IF(INDEX([1]!Product_Pricing_Table[#Data],MATCH(CV$1,Products,0),2)="Cores",IF(HostBuild[Use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1" s="59">
        <f>IFERROR(IF(FIND(CW$1,$W31)&gt;0,IF(INDEX([1]!Product_Pricing_Table[#Data],MATCH(CW$1,Products,0),2)="Cores",IF(HostBuild[Use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1" s="59">
        <f>IFERROR(IF(FIND(CX$1,$W31)&gt;0,IF(INDEX([1]!Product_Pricing_Table[#Data],MATCH(CX$1,Products,0),2)="Cores",IF(HostBuild[Use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1" s="59">
        <f>IFERROR(IF(FIND(CY$1,$W31)&gt;0,IF(INDEX([1]!Product_Pricing_Table[#Data],MATCH(CY$1,Products,0),2)="Cores",IF(HostBuild[Use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1" s="59">
        <f>IFERROR(IF(FIND(CZ$1,$W31)&gt;0,IF(INDEX([1]!Product_Pricing_Table[#Data],MATCH(CZ$1,Products,0),2)="Cores",IF(HostBuild[Use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1" s="59">
        <f>IFERROR(IF(FIND(DA$1,$W31)&gt;0,IF(INDEX([1]!Product_Pricing_Table[#Data],MATCH(DA$1,Products,0),2)="Cores",IF(HostBuild[Use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1" s="59">
        <f>IFERROR(IF(FIND(DB$1,$W31)&gt;0,IF(INDEX([1]!Product_Pricing_Table[#Data],MATCH(DB$1,Products,0),2)="Cores",IF(HostBuild[Use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1" s="59">
        <f>IFERROR(IF(FIND(DC$1,$W31)&gt;0,IF(INDEX([1]!Product_Pricing_Table[#Data],MATCH(DC$1,Products,0),2)="Cores",IF(HostBuild[Use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1" s="59">
        <f>IFERROR(IF(FIND(DD$1,$W31)&gt;0,IF(INDEX([1]!Product_Pricing_Table[#Data],MATCH(DD$1,Products,0),2)="Cores",IF(HostBuild[Use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1" s="59">
        <f>IFERROR(IF(FIND(DE$1,$W31)&gt;0,IF(INDEX([1]!Product_Pricing_Table[#Data],MATCH(DE$1,Products,0),2)="Cores",IF(HostBuild[Use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1" s="60">
        <f>IFERROR(IF(FIND(DF$1,$W31)&gt;0,IF(INDEX([1]!Product_Pricing_Table[#Data],MATCH(DF$1,Products,0),2)="Cores",IF(HostBuild[Use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1" s="60">
        <f>IFERROR(IF(FIND(DG$1,$W31)&gt;0,IF(INDEX([1]!Product_Pricing_Table[#Data],MATCH(DG$1,Products,0),2)="Cores",IF(HostBuild[Use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1" s="59">
        <f>IFERROR(IF(FIND(DH$1,$W31)&gt;0,IF(INDEX([1]!Product_Pricing_Table[#Data],MATCH(DH$1,Products,0),2)="Cores",IF(HostBuild[Use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1" s="60">
        <f>IFERROR(IF(FIND(DI$1,$W31)&gt;0,IF(INDEX([1]!Product_Pricing_Table[#Data],MATCH(DI$1,Products,0),2)="Cores",IF(HostBuild[Use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1" s="59">
        <f>IFERROR(IF(FIND(DJ$1,$W31)&gt;0,IF(INDEX([1]!Product_Pricing_Table[#Data],MATCH(DJ$1,Products,0),2)="Cores",IF(HostBuild[Use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1" s="59">
        <f>IFERROR(IF(FIND(DK$1,$W31)&gt;0,IF(INDEX([1]!Product_Pricing_Table[#Data],MATCH(DK$1,Products,0),2)="Cores",IF(HostBuild[Use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1" s="59">
        <f>IFERROR(IF(FIND(DL$1,$W31)&gt;0,IF(INDEX([1]!Product_Pricing_Table[#Data],MATCH(DL$1,Products,0),2)="Cores",IF(HostBuild[Use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1" s="59">
        <f>IFERROR(IF(FIND(DM$1,$W31)&gt;0,IF(INDEX([1]!Product_Pricing_Table[#Data],MATCH(DM$1,Products,0),2)="Cores",IF(HostBuild[Use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1" s="59">
        <f>IFERROR(IF(FIND(DN$1,$W31)&gt;0,IF(INDEX([1]!Product_Pricing_Table[#Data],MATCH(DN$1,Products,0),2)="Cores",IF(HostBuild[Use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1" s="59">
        <f>IFERROR(IF(FIND(DO$1,$W31)&gt;0,IF(INDEX([1]!Product_Pricing_Table[#Data],MATCH(DO$1,Products,0),2)="Cores",IF(HostBuild[Use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1" s="59">
        <f>IFERROR(IF(FIND(DP$1,$W31)&gt;0,IF(INDEX([1]!Product_Pricing_Table[#Data],MATCH(DP$1,Products,0),2)="Cores",IF(HostBuild[Use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1" s="59">
        <f>IFERROR(IF(FIND(DQ$1,$W31)&gt;0,IF(INDEX([1]!Product_Pricing_Table[#Data],MATCH(DQ$1,Products,0),2)="Cores",IF(HostBuild[Use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1" s="59">
        <f>IFERROR(IF(FIND(DR$1,$W31)&gt;0,IF(INDEX([1]!Product_Pricing_Table[#Data],MATCH(DR$1,Products,0),2)="Cores",IF(HostBuild[Use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1" s="59">
        <f>IFERROR(IF(FIND(DS$1,$W31)&gt;0,IF(INDEX([1]!Product_Pricing_Table[#Data],MATCH(DS$1,Products,0),2)="Cores",IF(HostBuild[Use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1" s="59">
        <f>IFERROR(IF(FIND(DT$1,$W31)&gt;0,IF(INDEX([1]!Product_Pricing_Table[#Data],MATCH(DT$1,Products,0),2)="Cores",IF(HostBuild[Use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1" s="59">
        <f>IFERROR(IF(FIND(DU$1,$W31)&gt;0,IF(INDEX([1]!Product_Pricing_Table[#Data],MATCH(DU$1,Products,0),2)="Cores",IF(HostBuild[Use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1" s="59">
        <f>IFERROR(IF(FIND(DV$1,$W31)&gt;0,IF(INDEX([1]!Product_Pricing_Table[#Data],MATCH(DV$1,Products,0),2)="Cores",IF(HostBuild[Use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1" s="59">
        <f>IFERROR(IF(FIND(DW$1,$W31)&gt;0,IF(INDEX([1]!Product_Pricing_Table[#Data],MATCH(DW$1,Products,0),2)="Cores",IF(HostBuild[Use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1" s="59">
        <f>IFERROR(IF(FIND(DX$1,$W31)&gt;0,IF(INDEX([1]!Product_Pricing_Table[#Data],MATCH(DX$1,Products,0),2)="Cores",IF(HostBuild[Use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1" s="59">
        <f>IFERROR(IF(FIND(DY$1,$W31)&gt;0,IF(INDEX([1]!Product_Pricing_Table[#Data],MATCH(DY$1,Products,0),2)="Cores",IF(HostBuild[Use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1" s="59">
        <f>IFERROR(IF(FIND(DZ$1,$W31)&gt;0,IF(INDEX([1]!Product_Pricing_Table[#Data],MATCH(DZ$1,Products,0),2)="Cores",IF(HostBuild[Use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1" s="59">
        <f>IFERROR(IF(FIND(EA$1,$W31)&gt;0,IF(INDEX([1]!Product_Pricing_Table[#Data],MATCH(EA$1,Products,0),2)="Cores",IF(HostBuild[Use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1" s="59">
        <f>IFERROR(IF(FIND(EB$1,$W31)&gt;0,IF(INDEX([1]!Product_Pricing_Table[#Data],MATCH(EB$1,Products,0),2)="Cores",IF(HostBuild[Use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1" s="60">
        <f>IFERROR(IF(FIND(EC$1,$W31)&gt;0,IF(INDEX([1]!Product_Pricing_Table[#Data],MATCH(EC$1,Products,0),2)="Cores",IF(HostBuild[Use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1" s="59">
        <f>IFERROR(IF(FIND(ED$1,$W31)&gt;0,IF(INDEX([1]!Product_Pricing_Table[#Data],MATCH(ED$1,Products,0),2)="Cores",IF(HostBuild[Use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1" s="59">
        <f>IFERROR(IF(FIND(EE$1,$W31)&gt;0,IF(INDEX([1]!Product_Pricing_Table[#Data],MATCH(EE$1,Products,0),2)="Cores",IF(HostBuild[Use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1" s="59">
        <f>IFERROR(IF(FIND(EF$1,$W31)&gt;0,IF(INDEX([1]!Product_Pricing_Table[#Data],MATCH(EF$1,Products,0),2)="Cores",IF(HostBuild[Use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1" s="59">
        <f>IFERROR(IF(FIND(EG$1,$W31)&gt;0,IF(INDEX([1]!Product_Pricing_Table[#Data],MATCH(EG$1,Products,0),2)="Cores",IF(HostBuild[Use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1" s="59">
        <f>IFERROR(IF(FIND(EH$1,$W31)&gt;0,IF(INDEX([1]!Product_Pricing_Table[#Data],MATCH(EH$1,Products,0),2)="Cores",IF(HostBuild[Use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1" s="59">
        <f>IFERROR(IF(FIND(EI$1,$W31)&gt;0,IF(INDEX([1]!Product_Pricing_Table[#Data],MATCH(EI$1,Products,0),2)="Cores",IF(HostBuild[Use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1" s="59">
        <f>IFERROR(IF(FIND(EJ$1,$W31)&gt;0,IF(INDEX([1]!Product_Pricing_Table[#Data],MATCH(EJ$1,Products,0),2)="Cores",IF(HostBuild[Use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1" s="60">
        <f>IFERROR(IF(FIND(EK$1,$W31)&gt;0,IF(INDEX([1]!Product_Pricing_Table[#Data],MATCH(EK$1,Products,0),2)="Cores",IF(HostBuild[Use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1" s="61"/>
      <c r="EM31" s="62">
        <v>359.30500000000001</v>
      </c>
      <c r="EN31" s="63">
        <v>62.913333333333334</v>
      </c>
      <c r="EO31" s="64">
        <f>IF(OR(ISBLANK(HostBuild[Alias]),HostBuild[Server Tier]="",),0,IF(HostBuild[Server Tier]="SafeNet",Safenet_PSE_PL600+HostBuild[Network Cost],IF(HostBuild[Server Tier]="VMware",HostBuild[New VMware (Adjusted)]+HostBuild[Initial Server Cost],IF(HostBuild[Server Tier]="XI52",IBM_DIA_XI52,HostBuild[Initial Server Cost]))))</f>
        <v>2522</v>
      </c>
      <c r="EP3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1602.4350000000002</v>
      </c>
      <c r="EQ31" s="132">
        <f>(HostBuild[Archive
Full (GB)]+HostBuild[Archive
Incr (GB)])*Storage_DC_Dist_Tape_2014</f>
        <v>232.87643750000001</v>
      </c>
      <c r="ER31" s="132">
        <f>IF(ISNUMBER(HostBuild[Server HW Costs
(Monthly)]),SUM(HostBuild[[#This Row],[Server HW Costs
(Monthly)]:[Tape Costs
(Monthly)]]),0)</f>
        <v>4357.3114375000005</v>
      </c>
      <c r="ES31" s="65">
        <f>HostBuild[Software Costs
'[Year 1']
(Monthly)]+HostBuild[Total Hardware Costs
(Monthly)]</f>
        <v>4716.6164375000008</v>
      </c>
      <c r="ET31" s="65">
        <f>IFERROR(IF(FIND("Safenet",HostBuild[Server Model]),Safenet_PSE_PL600_Maint,0),0)+IFERROR(IF(FIND("XI52",HostBuild[Server Model]),IBM_DIA_XI52_Maint,0),0)+HostBuild[Software Costs
'[After Year 1']
(Monthly)]+HostBuild[Total Hardware Costs
(Monthly)]</f>
        <v>4420.2247708333334</v>
      </c>
      <c r="EU31" s="66">
        <f>SUM(HostBuild[[#This Row],[Server Cost Breakdown]:[Network Cost]])</f>
        <v>2522</v>
      </c>
      <c r="EV31" s="67">
        <f>IF(HostBuild[Existing Server?]="Yes - Inside this BoM",0,SUMIF(HostBuild[Alias],HostBuild[Alias],HostBuild[CPU])+SUMIF(HostBuild[Alias],HostBuild[Alias],HostBuild[Existing CPUs]))</f>
        <v>2</v>
      </c>
      <c r="EW31" s="67">
        <f>IF(HostBuild[Existing Server?]="Yes - Inside this BoM",0,SUMIF(HostBuild[Alias],HostBuild[Alias],HostBuild[Cores 
(Licensed Units)])+SUMIF(HostBuild[Alias],HostBuild[Alias],HostBuild[Existing Cores]))</f>
        <v>2</v>
      </c>
      <c r="EX31" s="67">
        <f>IF(HostBuild[Existing Server?]="Yes - Inside this BoM",0,SUMIF(HostBuild[Alias],HostBuild[Alias],HostBuild[RAM 
(GB)])+SUMIF(HostBuild[Alias],HostBuild[Alias],HostBuild[Existing RAM (GB)]))</f>
        <v>128</v>
      </c>
      <c r="EY3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1" s="66">
        <f>IF(ISBLANK(HostBuild[Server Model]),0,IF(HostBuild[Server Tier]="VMware",0,VLOOKUP(HostBuild[Server Tier],[1]!ServerTierRates[#Data],2,0))*HostBuild[CPU]*IF(AND(HostBuild[Server Type]="pSeries",HostBuild[Virtual Platform Storage Type]="Cloud-SAN"),0.25,1))</f>
        <v>1658</v>
      </c>
      <c r="FD31" s="66">
        <f>0</f>
        <v>0</v>
      </c>
      <c r="FE31" s="66">
        <f>IF(HostBuild[Server Type]="VMware",HostBuild[RAM 
(GB)]*IF(ISERROR(FIND("DevCloud", HostBuild[Server Model])&gt;0),vRAM_per_vCPU_2014_Monthly,vRAM_per_vCPU_2014_Daily*30),0)</f>
        <v>0</v>
      </c>
      <c r="FF3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864</v>
      </c>
      <c r="FG3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1" s="69">
        <f>IF(HostBuild[Server Tier]="VMware",0,IF(LEFT(HostBuild[Existing Server?],3)="Yes",0,IF(OR(HostBuild[Server Type]="Sun",HostBuild[Server Type]="pSeries"),Support_Direct_Server_Sun_per_OS_2014,IF(HostBuild[Server Type]="x86",Support_Direct_Server_x86_Wintel_per_OS_2014,0))))</f>
        <v>0</v>
      </c>
      <c r="FI3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2" spans="1:165" hidden="1">
      <c r="A32" s="122" t="s">
        <v>53</v>
      </c>
      <c r="B32" s="36"/>
      <c r="C32" s="36"/>
      <c r="D32" s="36"/>
      <c r="E32" s="37"/>
      <c r="F32" s="37"/>
      <c r="G32" s="103"/>
      <c r="H32" s="103"/>
      <c r="I32" s="38"/>
      <c r="J32" s="37"/>
      <c r="K32" s="37"/>
      <c r="L32" s="37"/>
      <c r="M32" s="103" t="e">
        <f ca="1">IF(rngIsDate(HostBuild[CTO Acceptance]),"Y","N")</f>
        <v>#NAME?</v>
      </c>
      <c r="N32" s="123" t="s">
        <v>4</v>
      </c>
      <c r="O32" s="39"/>
      <c r="P32" s="39"/>
      <c r="Q32" s="123" t="s">
        <v>112</v>
      </c>
      <c r="R32" s="126" t="str">
        <f>IF(NOT(ISBLANK(HostBuild[Env Label])),IFERROR(VLOOKUP(HostBuild[Env Label],[1]!tEnv[#Data],3,FALSE),""),"")</f>
        <v/>
      </c>
      <c r="S32" s="104"/>
      <c r="T32" s="40"/>
      <c r="U32" s="105"/>
      <c r="V32" s="123" t="s">
        <v>97</v>
      </c>
      <c r="W32" s="123" t="s">
        <v>98</v>
      </c>
      <c r="X32" s="123" t="s">
        <v>99</v>
      </c>
      <c r="Y32" s="123" t="s">
        <v>58</v>
      </c>
      <c r="Z32" s="126" t="str">
        <f>IF(NOT(ISBLANK(HostBuild[[#This Row],[Product 
(Acronym)]])),CONCATENATE(HostBuild[[#This Row],[Type]],"-",HostBuild[[#This Row],[Product 
(Acronym)]]),"")</f>
        <v>DB-ESB</v>
      </c>
      <c r="AA32" s="106"/>
      <c r="AB32" s="106" t="s">
        <v>59</v>
      </c>
      <c r="AC32" s="41"/>
      <c r="AD32" s="42"/>
      <c r="AE32" s="42"/>
      <c r="AF32" s="43" t="s">
        <v>60</v>
      </c>
      <c r="AG32" s="124"/>
      <c r="AH32" s="107"/>
      <c r="AI32" s="124" t="s">
        <v>114</v>
      </c>
      <c r="AJ32" s="123">
        <f>IF(COUNTIF(HostBuild[Alias],HostBuild[Alias]),1/COUNTIF(HostBuild[Alias],HostBuild[Alias]),0)</f>
        <v>1</v>
      </c>
      <c r="AK32" s="124"/>
      <c r="AL32" s="124"/>
      <c r="AM32" s="44" t="s">
        <v>101</v>
      </c>
      <c r="AN32" s="45" t="str">
        <f>IF(NOT(ISBLANK(HostBuild[Server Model])),VLOOKUP(HostBuild[Server Model],[1]!ServerModelsTier[#Data],2,FALSE),"")</f>
        <v>IBM P-Series Tier 2</v>
      </c>
      <c r="AO32" s="45" t="str">
        <f>IF(NOT(ISBLANK(HostBuild[Server Model])),VLOOKUP(HostBuild[Server Model],[1]!ServerModelsTier[#Data],5,FALSE),"")</f>
        <v>pSeries</v>
      </c>
      <c r="AP32" s="44"/>
      <c r="AQ32" s="44" t="s">
        <v>102</v>
      </c>
      <c r="AR32" s="47">
        <v>2</v>
      </c>
      <c r="AS32" s="108"/>
      <c r="AT32" s="47">
        <v>2</v>
      </c>
      <c r="AU32" s="109"/>
      <c r="AV32" s="48">
        <v>128</v>
      </c>
      <c r="AW32" s="124"/>
      <c r="AX32" s="124"/>
      <c r="AY32" s="124"/>
      <c r="AZ32" s="49"/>
      <c r="BA32" s="124"/>
      <c r="BB32" s="124"/>
      <c r="BC32" s="42"/>
      <c r="BD32" s="124"/>
      <c r="BE32" s="124"/>
      <c r="BF32" s="124"/>
      <c r="BG32" s="124"/>
      <c r="BH32" s="124"/>
      <c r="BI32" s="124"/>
      <c r="BJ32" s="124"/>
      <c r="BK32"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32" s="127">
        <v>300</v>
      </c>
      <c r="BM32" s="129">
        <f>IF(ISNUMBER(HostBuild[Recommended SAN (GB)]),HostBuild[Recommended SAN (GB)])+IF(HostBuild[Additional SAN (GB)]&gt;0,CEILING(HostBuild[Additional SAN (GB)],LUN),-(CEILING(-HostBuild[Additional SAN (GB)],LUN)))</f>
        <v>303.3</v>
      </c>
      <c r="BN32" s="128"/>
      <c r="BO32" s="129">
        <f>HostBuild[SAN (GB)
NEEDED TODAY]+CEILING(HostBuild[SAN (GB)
RESERVED
DO NOT USE TO BUILD], LUN)</f>
        <v>303.3</v>
      </c>
      <c r="BP32" s="130"/>
      <c r="BQ32" s="131"/>
      <c r="BR32" s="125" t="s">
        <v>76</v>
      </c>
      <c r="BS32" s="110">
        <f>IF(HostBuild[Existing Server?]&lt;&gt;"Yes - Inside this BoM",IF(ISNUMBER(HostBuild[RAM 
(GB)]),IF(HostBuild[Existing RAM (GB)]+HostBuild[RAM 
(GB)]&gt;0,IF(HostBuild[Virtual Platform Storage Type]="NAS",110+HostBuild[Existing RAM (GB)]+HostBuild[RAM 
(GB)]*1.75,0),0),0),0)</f>
        <v>0</v>
      </c>
      <c r="BT32" s="111"/>
      <c r="BU32" s="112">
        <f>IF(ISNUMBER(HostBuild[Recommended NAS (GB)]),HostBuild[Recommended NAS (GB)])+HostBuild[Additional NAS (GB)]</f>
        <v>0</v>
      </c>
      <c r="BV32" s="50"/>
      <c r="BW32" s="50"/>
      <c r="BX32" s="133">
        <f>IFERROR((HostBuild[SAN (GB)
End-State
DO NOT USE TO BUILD]+HostBuild[SAN (GB) Shared])*25%,"")</f>
        <v>75.825000000000003</v>
      </c>
      <c r="BY32" s="113">
        <f>IFERROR(HostBuild[Archive
Full (GB)]*15%,"")</f>
        <v>11.373749999999999</v>
      </c>
      <c r="BZ32" s="51"/>
      <c r="CA32" s="51"/>
      <c r="CB32" s="52"/>
      <c r="CC32" s="53"/>
      <c r="CD32" s="52"/>
      <c r="CE32" s="54"/>
      <c r="CF32" s="128"/>
      <c r="CG32" s="114"/>
      <c r="CH32" s="55"/>
      <c r="CI32" s="56"/>
      <c r="CJ32" s="57"/>
      <c r="CK32" s="58"/>
      <c r="CL32" s="59">
        <f>IFERROR(IF(FIND(CL$1,$W32)&gt;0,IF(INDEX([1]!Product_Pricing_Table[#Data],MATCH(CL$1,Products,0),2)="Cores",IF(HostBuild[Use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2" s="59">
        <f>IFERROR(IF(FIND(CM$1,$W32)&gt;0,IF(INDEX([1]!Product_Pricing_Table[#Data],MATCH(CM$1,Products,0),2)="Cores",IF(HostBuild[Use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2" s="59">
        <f>IFERROR(IF(FIND(CN$1,$W32)&gt;0,IF(INDEX([1]!Product_Pricing_Table[#Data],MATCH(CN$1,Products,0),2)="Cores",IF(HostBuild[Use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2" s="59">
        <f>IFERROR(IF(FIND(CO$1,$W32)&gt;0,IF(INDEX([1]!Product_Pricing_Table[#Data],MATCH(CO$1,Products,0),2)="Cores",IF(HostBuild[Use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2" s="59">
        <f>IFERROR(IF(FIND(CP$1,$W32)&gt;0,IF(INDEX([1]!Product_Pricing_Table[#Data],MATCH(CP$1,Products,0),2)="Cores",IF(HostBuild[Use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2" s="59">
        <f>IFERROR(IF(FIND(CQ$1,$W32)&gt;0,IF(INDEX([1]!Product_Pricing_Table[#Data],MATCH(CQ$1,Products,0),2)="Cores",IF(HostBuild[Use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2" s="59">
        <f>IFERROR(IF(FIND(CR$1,$W32)&gt;0,IF(INDEX([1]!Product_Pricing_Table[#Data],MATCH(CR$1,Products,0),2)="Cores",IF(HostBuild[Use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2" s="59">
        <f>IFERROR(IF(FIND(CS$1,$W32)&gt;0,IF(INDEX([1]!Product_Pricing_Table[#Data],MATCH(CS$1,Products,0),2)="Cores",IF(HostBuild[Use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2" s="59">
        <f>IFERROR(IF(FIND(CT$1,$W32)&gt;0,IF(INDEX([1]!Product_Pricing_Table[#Data],MATCH(CT$1,Products,0),2)="Cores",IF(HostBuild[Use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2" s="59">
        <f>IFERROR(IF(FIND(CU$1,$W32)&gt;0,IF(INDEX([1]!Product_Pricing_Table[#Data],MATCH(CU$1,Products,0),2)="Cores",IF(HostBuild[Use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2" s="59">
        <f>IFERROR(IF(FIND(CV$1,$W32)&gt;0,IF(INDEX([1]!Product_Pricing_Table[#Data],MATCH(CV$1,Products,0),2)="Cores",IF(HostBuild[Use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2" s="59">
        <f>IFERROR(IF(FIND(CW$1,$W32)&gt;0,IF(INDEX([1]!Product_Pricing_Table[#Data],MATCH(CW$1,Products,0),2)="Cores",IF(HostBuild[Use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2" s="59">
        <f>IFERROR(IF(FIND(CX$1,$W32)&gt;0,IF(INDEX([1]!Product_Pricing_Table[#Data],MATCH(CX$1,Products,0),2)="Cores",IF(HostBuild[Use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2" s="59">
        <f>IFERROR(IF(FIND(CY$1,$W32)&gt;0,IF(INDEX([1]!Product_Pricing_Table[#Data],MATCH(CY$1,Products,0),2)="Cores",IF(HostBuild[Use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2" s="59">
        <f>IFERROR(IF(FIND(CZ$1,$W32)&gt;0,IF(INDEX([1]!Product_Pricing_Table[#Data],MATCH(CZ$1,Products,0),2)="Cores",IF(HostBuild[Use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2" s="59">
        <f>IFERROR(IF(FIND(DA$1,$W32)&gt;0,IF(INDEX([1]!Product_Pricing_Table[#Data],MATCH(DA$1,Products,0),2)="Cores",IF(HostBuild[Use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2" s="59">
        <f>IFERROR(IF(FIND(DB$1,$W32)&gt;0,IF(INDEX([1]!Product_Pricing_Table[#Data],MATCH(DB$1,Products,0),2)="Cores",IF(HostBuild[Use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2" s="59">
        <f>IFERROR(IF(FIND(DC$1,$W32)&gt;0,IF(INDEX([1]!Product_Pricing_Table[#Data],MATCH(DC$1,Products,0),2)="Cores",IF(HostBuild[Use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2" s="59">
        <f>IFERROR(IF(FIND(DD$1,$W32)&gt;0,IF(INDEX([1]!Product_Pricing_Table[#Data],MATCH(DD$1,Products,0),2)="Cores",IF(HostBuild[Use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2" s="59">
        <f>IFERROR(IF(FIND(DE$1,$W32)&gt;0,IF(INDEX([1]!Product_Pricing_Table[#Data],MATCH(DE$1,Products,0),2)="Cores",IF(HostBuild[Use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2" s="60">
        <f>IFERROR(IF(FIND(DF$1,$W32)&gt;0,IF(INDEX([1]!Product_Pricing_Table[#Data],MATCH(DF$1,Products,0),2)="Cores",IF(HostBuild[Use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2" s="60">
        <f>IFERROR(IF(FIND(DG$1,$W32)&gt;0,IF(INDEX([1]!Product_Pricing_Table[#Data],MATCH(DG$1,Products,0),2)="Cores",IF(HostBuild[Use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2" s="59">
        <f>IFERROR(IF(FIND(DH$1,$W32)&gt;0,IF(INDEX([1]!Product_Pricing_Table[#Data],MATCH(DH$1,Products,0),2)="Cores",IF(HostBuild[Use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2" s="60">
        <f>IFERROR(IF(FIND(DI$1,$W32)&gt;0,IF(INDEX([1]!Product_Pricing_Table[#Data],MATCH(DI$1,Products,0),2)="Cores",IF(HostBuild[Use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2" s="59">
        <f>IFERROR(IF(FIND(DJ$1,$W32)&gt;0,IF(INDEX([1]!Product_Pricing_Table[#Data],MATCH(DJ$1,Products,0),2)="Cores",IF(HostBuild[Use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2" s="59">
        <f>IFERROR(IF(FIND(DK$1,$W32)&gt;0,IF(INDEX([1]!Product_Pricing_Table[#Data],MATCH(DK$1,Products,0),2)="Cores",IF(HostBuild[Use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2" s="59">
        <f>IFERROR(IF(FIND(DL$1,$W32)&gt;0,IF(INDEX([1]!Product_Pricing_Table[#Data],MATCH(DL$1,Products,0),2)="Cores",IF(HostBuild[Use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2" s="59">
        <f>IFERROR(IF(FIND(DM$1,$W32)&gt;0,IF(INDEX([1]!Product_Pricing_Table[#Data],MATCH(DM$1,Products,0),2)="Cores",IF(HostBuild[Use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2" s="59">
        <f>IFERROR(IF(FIND(DN$1,$W32)&gt;0,IF(INDEX([1]!Product_Pricing_Table[#Data],MATCH(DN$1,Products,0),2)="Cores",IF(HostBuild[Use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2" s="59">
        <f>IFERROR(IF(FIND(DO$1,$W32)&gt;0,IF(INDEX([1]!Product_Pricing_Table[#Data],MATCH(DO$1,Products,0),2)="Cores",IF(HostBuild[Use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2" s="59">
        <f>IFERROR(IF(FIND(DP$1,$W32)&gt;0,IF(INDEX([1]!Product_Pricing_Table[#Data],MATCH(DP$1,Products,0),2)="Cores",IF(HostBuild[Use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2" s="59">
        <f>IFERROR(IF(FIND(DQ$1,$W32)&gt;0,IF(INDEX([1]!Product_Pricing_Table[#Data],MATCH(DQ$1,Products,0),2)="Cores",IF(HostBuild[Use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2" s="59">
        <f>IFERROR(IF(FIND(DR$1,$W32)&gt;0,IF(INDEX([1]!Product_Pricing_Table[#Data],MATCH(DR$1,Products,0),2)="Cores",IF(HostBuild[Use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2" s="59">
        <f>IFERROR(IF(FIND(DS$1,$W32)&gt;0,IF(INDEX([1]!Product_Pricing_Table[#Data],MATCH(DS$1,Products,0),2)="Cores",IF(HostBuild[Use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2" s="59">
        <f>IFERROR(IF(FIND(DT$1,$W32)&gt;0,IF(INDEX([1]!Product_Pricing_Table[#Data],MATCH(DT$1,Products,0),2)="Cores",IF(HostBuild[Use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2" s="59">
        <f>IFERROR(IF(FIND(DU$1,$W32)&gt;0,IF(INDEX([1]!Product_Pricing_Table[#Data],MATCH(DU$1,Products,0),2)="Cores",IF(HostBuild[Use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2" s="59">
        <f>IFERROR(IF(FIND(DV$1,$W32)&gt;0,IF(INDEX([1]!Product_Pricing_Table[#Data],MATCH(DV$1,Products,0),2)="Cores",IF(HostBuild[Use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2" s="59">
        <f>IFERROR(IF(FIND(DW$1,$W32)&gt;0,IF(INDEX([1]!Product_Pricing_Table[#Data],MATCH(DW$1,Products,0),2)="Cores",IF(HostBuild[Use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2" s="59">
        <f>IFERROR(IF(FIND(DX$1,$W32)&gt;0,IF(INDEX([1]!Product_Pricing_Table[#Data],MATCH(DX$1,Products,0),2)="Cores",IF(HostBuild[Use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2" s="59">
        <f>IFERROR(IF(FIND(DY$1,$W32)&gt;0,IF(INDEX([1]!Product_Pricing_Table[#Data],MATCH(DY$1,Products,0),2)="Cores",IF(HostBuild[Use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2" s="59">
        <f>IFERROR(IF(FIND(DZ$1,$W32)&gt;0,IF(INDEX([1]!Product_Pricing_Table[#Data],MATCH(DZ$1,Products,0),2)="Cores",IF(HostBuild[Use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2" s="59">
        <f>IFERROR(IF(FIND(EA$1,$W32)&gt;0,IF(INDEX([1]!Product_Pricing_Table[#Data],MATCH(EA$1,Products,0),2)="Cores",IF(HostBuild[Use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2" s="59">
        <f>IFERROR(IF(FIND(EB$1,$W32)&gt;0,IF(INDEX([1]!Product_Pricing_Table[#Data],MATCH(EB$1,Products,0),2)="Cores",IF(HostBuild[Use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2" s="60">
        <f>IFERROR(IF(FIND(EC$1,$W32)&gt;0,IF(INDEX([1]!Product_Pricing_Table[#Data],MATCH(EC$1,Products,0),2)="Cores",IF(HostBuild[Use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2" s="59">
        <f>IFERROR(IF(FIND(ED$1,$W32)&gt;0,IF(INDEX([1]!Product_Pricing_Table[#Data],MATCH(ED$1,Products,0),2)="Cores",IF(HostBuild[Use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2" s="59">
        <f>IFERROR(IF(FIND(EE$1,$W32)&gt;0,IF(INDEX([1]!Product_Pricing_Table[#Data],MATCH(EE$1,Products,0),2)="Cores",IF(HostBuild[Use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2" s="59">
        <f>IFERROR(IF(FIND(EF$1,$W32)&gt;0,IF(INDEX([1]!Product_Pricing_Table[#Data],MATCH(EF$1,Products,0),2)="Cores",IF(HostBuild[Use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2" s="59">
        <f>IFERROR(IF(FIND(EG$1,$W32)&gt;0,IF(INDEX([1]!Product_Pricing_Table[#Data],MATCH(EG$1,Products,0),2)="Cores",IF(HostBuild[Use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2" s="59">
        <f>IFERROR(IF(FIND(EH$1,$W32)&gt;0,IF(INDEX([1]!Product_Pricing_Table[#Data],MATCH(EH$1,Products,0),2)="Cores",IF(HostBuild[Use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2" s="59">
        <f>IFERROR(IF(FIND(EI$1,$W32)&gt;0,IF(INDEX([1]!Product_Pricing_Table[#Data],MATCH(EI$1,Products,0),2)="Cores",IF(HostBuild[Use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2" s="59">
        <f>IFERROR(IF(FIND(EJ$1,$W32)&gt;0,IF(INDEX([1]!Product_Pricing_Table[#Data],MATCH(EJ$1,Products,0),2)="Cores",IF(HostBuild[Use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2" s="60">
        <f>IFERROR(IF(FIND(EK$1,$W32)&gt;0,IF(INDEX([1]!Product_Pricing_Table[#Data],MATCH(EK$1,Products,0),2)="Cores",IF(HostBuild[Use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2" s="61"/>
      <c r="EM32" s="62">
        <v>359.30500000000001</v>
      </c>
      <c r="EN32" s="63">
        <v>62.913333333333334</v>
      </c>
      <c r="EO32" s="64">
        <f>IF(OR(ISBLANK(HostBuild[Alias]),HostBuild[Server Tier]="",),0,IF(HostBuild[Server Tier]="SafeNet",Safenet_PSE_PL600+HostBuild[Network Cost],IF(HostBuild[Server Tier]="VMware",HostBuild[New VMware (Adjusted)]+HostBuild[Initial Server Cost],IF(HostBuild[Server Tier]="XI52",IBM_DIA_XI52,HostBuild[Initial Server Cost]))))</f>
        <v>2522</v>
      </c>
      <c r="EP3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136.48500000000001</v>
      </c>
      <c r="EQ32" s="132">
        <f>(HostBuild[Archive
Full (GB)]+HostBuild[Archive
Incr (GB)])*Storage_DC_Dist_Tape_2014</f>
        <v>30.519562499999999</v>
      </c>
      <c r="ER32" s="132">
        <f>IF(ISNUMBER(HostBuild[Server HW Costs
(Monthly)]),SUM(HostBuild[[#This Row],[Server HW Costs
(Monthly)]:[Tape Costs
(Monthly)]]),0)</f>
        <v>2689.0045625000002</v>
      </c>
      <c r="ES32" s="65">
        <f>HostBuild[Software Costs
'[Year 1']
(Monthly)]+HostBuild[Total Hardware Costs
(Monthly)]</f>
        <v>3048.3095625000001</v>
      </c>
      <c r="ET32" s="65">
        <f>IFERROR(IF(FIND("Safenet",HostBuild[Server Model]),Safenet_PSE_PL600_Maint,0),0)+IFERROR(IF(FIND("XI52",HostBuild[Server Model]),IBM_DIA_XI52_Maint,0),0)+HostBuild[Software Costs
'[After Year 1']
(Monthly)]+HostBuild[Total Hardware Costs
(Monthly)]</f>
        <v>2751.9178958333337</v>
      </c>
      <c r="EU32" s="66">
        <f>SUM(HostBuild[[#This Row],[Server Cost Breakdown]:[Network Cost]])</f>
        <v>2522</v>
      </c>
      <c r="EV32" s="67">
        <f>IF(HostBuild[Existing Server?]="Yes - Inside this BoM",0,SUMIF(HostBuild[Alias],HostBuild[Alias],HostBuild[CPU])+SUMIF(HostBuild[Alias],HostBuild[Alias],HostBuild[Existing CPUs]))</f>
        <v>2</v>
      </c>
      <c r="EW32" s="67">
        <f>IF(HostBuild[Existing Server?]="Yes - Inside this BoM",0,SUMIF(HostBuild[Alias],HostBuild[Alias],HostBuild[Cores 
(Licensed Units)])+SUMIF(HostBuild[Alias],HostBuild[Alias],HostBuild[Existing Cores]))</f>
        <v>2</v>
      </c>
      <c r="EX32" s="67">
        <f>IF(HostBuild[Existing Server?]="Yes - Inside this BoM",0,SUMIF(HostBuild[Alias],HostBuild[Alias],HostBuild[RAM 
(GB)])+SUMIF(HostBuild[Alias],HostBuild[Alias],HostBuild[Existing RAM (GB)]))</f>
        <v>128</v>
      </c>
      <c r="EY3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2" s="66">
        <f>IF(ISBLANK(HostBuild[Server Model]),0,IF(HostBuild[Server Tier]="VMware",0,VLOOKUP(HostBuild[Server Tier],[1]!ServerTierRates[#Data],2,0))*HostBuild[CPU]*IF(AND(HostBuild[Server Type]="pSeries",HostBuild[Virtual Platform Storage Type]="Cloud-SAN"),0.25,1))</f>
        <v>1658</v>
      </c>
      <c r="FD32" s="66">
        <f>0</f>
        <v>0</v>
      </c>
      <c r="FE32" s="66">
        <f>IF(HostBuild[Server Type]="VMware",HostBuild[RAM 
(GB)]*IF(ISERROR(FIND("DevCloud", HostBuild[Server Model])&gt;0),vRAM_per_vCPU_2014_Monthly,vRAM_per_vCPU_2014_Daily*30),0)</f>
        <v>0</v>
      </c>
      <c r="FF3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864</v>
      </c>
      <c r="FG3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2" s="69">
        <f>IF(HostBuild[Server Tier]="VMware",0,IF(LEFT(HostBuild[Existing Server?],3)="Yes",0,IF(OR(HostBuild[Server Type]="Sun",HostBuild[Server Type]="pSeries"),Support_Direct_Server_Sun_per_OS_2014,IF(HostBuild[Server Type]="x86",Support_Direct_Server_x86_Wintel_per_OS_2014,0))))</f>
        <v>0</v>
      </c>
      <c r="FI3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3" spans="1:165" hidden="1">
      <c r="A33" s="122" t="s">
        <v>53</v>
      </c>
      <c r="B33" s="36"/>
      <c r="C33" s="36"/>
      <c r="D33" s="36"/>
      <c r="E33" s="37"/>
      <c r="F33" s="37"/>
      <c r="G33" s="103"/>
      <c r="H33" s="103"/>
      <c r="I33" s="38"/>
      <c r="J33" s="37"/>
      <c r="K33" s="37"/>
      <c r="L33" s="37"/>
      <c r="M33" s="103" t="e">
        <f ca="1">IF(rngIsDate(HostBuild[CTO Acceptance]),"Y","N")</f>
        <v>#NAME?</v>
      </c>
      <c r="N33" s="123" t="s">
        <v>4</v>
      </c>
      <c r="O33" s="39"/>
      <c r="P33" s="39"/>
      <c r="Q33" s="123" t="s">
        <v>112</v>
      </c>
      <c r="R33" s="126" t="str">
        <f>IF(NOT(ISBLANK(HostBuild[Env Label])),IFERROR(VLOOKUP(HostBuild[Env Label],[1]!tEnv[#Data],3,FALSE),""),"")</f>
        <v/>
      </c>
      <c r="S33" s="104"/>
      <c r="T33" s="40"/>
      <c r="U33" s="105"/>
      <c r="V33" s="123" t="s">
        <v>115</v>
      </c>
      <c r="W33" s="123" t="s">
        <v>83</v>
      </c>
      <c r="X33" s="123" t="s">
        <v>57</v>
      </c>
      <c r="Y33" s="123" t="s">
        <v>58</v>
      </c>
      <c r="Z33" s="126" t="str">
        <f>IF(NOT(ISBLANK(HostBuild[[#This Row],[Product 
(Acronym)]])),CONCATENATE(HostBuild[[#This Row],[Type]],"-",HostBuild[[#This Row],[Product 
(Acronym)]]),"")</f>
        <v>AP-ESB</v>
      </c>
      <c r="AA33" s="106"/>
      <c r="AB33" s="106" t="s">
        <v>59</v>
      </c>
      <c r="AC33" s="41"/>
      <c r="AD33" s="42"/>
      <c r="AE33" s="42"/>
      <c r="AF33" s="43" t="s">
        <v>60</v>
      </c>
      <c r="AG33" s="124"/>
      <c r="AH33" s="107"/>
      <c r="AI33" s="124" t="s">
        <v>116</v>
      </c>
      <c r="AJ33" s="123">
        <f>IF(COUNTIF(HostBuild[Alias],HostBuild[Alias]),1/COUNTIF(HostBuild[Alias],HostBuild[Alias]),0)</f>
        <v>1</v>
      </c>
      <c r="AK33" s="124"/>
      <c r="AL33" s="124"/>
      <c r="AM33" s="44" t="s">
        <v>62</v>
      </c>
      <c r="AN33" s="45" t="str">
        <f>IF(NOT(ISBLANK(HostBuild[Server Model])),VLOOKUP(HostBuild[Server Model],[1]!ServerModelsTier[#Data],2,FALSE),"")</f>
        <v>x86 Tier 3</v>
      </c>
      <c r="AO33" s="45" t="str">
        <f>IF(NOT(ISBLANK(HostBuild[Server Model])),VLOOKUP(HostBuild[Server Model],[1]!ServerModelsTier[#Data],5,FALSE),"")</f>
        <v>x86</v>
      </c>
      <c r="AP33" s="44"/>
      <c r="AQ33" s="44" t="s">
        <v>63</v>
      </c>
      <c r="AR33" s="46"/>
      <c r="AS33" s="108"/>
      <c r="AT33" s="47"/>
      <c r="AU33" s="109" t="str">
        <f>IF(IFERROR(FIND("P-Series",HostBuild[Server Tier]),0),CEILING((HostBuild[Existing CPUs]+HostBuild[CPU])*16,8),"")</f>
        <v/>
      </c>
      <c r="AV33" s="48"/>
      <c r="AW33" s="124"/>
      <c r="AX33" s="124"/>
      <c r="AY33" s="124"/>
      <c r="AZ33" s="49"/>
      <c r="BA33" s="124"/>
      <c r="BB33" s="124"/>
      <c r="BC33" s="42"/>
      <c r="BD33" s="124"/>
      <c r="BE33" s="124"/>
      <c r="BF33" s="124"/>
      <c r="BG33" s="124"/>
      <c r="BH33" s="124"/>
      <c r="BI33" s="124"/>
      <c r="BJ33" s="124"/>
      <c r="BK33"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33" s="127"/>
      <c r="BM33" s="129">
        <f>IF(ISNUMBER(HostBuild[Recommended SAN (GB)]),HostBuild[Recommended SAN (GB)])+IF(HostBuild[Additional SAN (GB)]&gt;0,CEILING(HostBuild[Additional SAN (GB)],LUN),-(CEILING(-HostBuild[Additional SAN (GB)],LUN)))</f>
        <v>0</v>
      </c>
      <c r="BN33" s="128"/>
      <c r="BO33" s="129">
        <f>HostBuild[SAN (GB)
NEEDED TODAY]+CEILING(HostBuild[SAN (GB)
RESERVED
DO NOT USE TO BUILD], LUN)</f>
        <v>0</v>
      </c>
      <c r="BP33" s="130"/>
      <c r="BQ33" s="131"/>
      <c r="BR33" s="125" t="s">
        <v>76</v>
      </c>
      <c r="BS33" s="110">
        <f>IF(HostBuild[Existing Server?]&lt;&gt;"Yes - Inside this BoM",IF(ISNUMBER(HostBuild[RAM 
(GB)]),IF(HostBuild[Existing RAM (GB)]+HostBuild[RAM 
(GB)]&gt;0,IF(HostBuild[Virtual Platform Storage Type]="NAS",110+HostBuild[Existing RAM (GB)]+HostBuild[RAM 
(GB)]*1.75,0),0),0),0)</f>
        <v>0</v>
      </c>
      <c r="BT33" s="111"/>
      <c r="BU33" s="112">
        <f>IF(ISNUMBER(HostBuild[Recommended NAS (GB)]),HostBuild[Recommended NAS (GB)])+HostBuild[Additional NAS (GB)]</f>
        <v>0</v>
      </c>
      <c r="BV33" s="50"/>
      <c r="BW33" s="50"/>
      <c r="BX33" s="133">
        <f>IFERROR((HostBuild[SAN (GB)
End-State
DO NOT USE TO BUILD]+HostBuild[SAN (GB) Shared])*25%,"")</f>
        <v>0</v>
      </c>
      <c r="BY33" s="113">
        <f>IFERROR(HostBuild[Archive
Full (GB)]*15%,"")</f>
        <v>0</v>
      </c>
      <c r="BZ33" s="51"/>
      <c r="CA33" s="51"/>
      <c r="CB33" s="52"/>
      <c r="CC33" s="53"/>
      <c r="CD33" s="52"/>
      <c r="CE33" s="54"/>
      <c r="CF33" s="128"/>
      <c r="CG33" s="114"/>
      <c r="CH33" s="55"/>
      <c r="CI33" s="56"/>
      <c r="CJ33" s="57"/>
      <c r="CK33" s="58"/>
      <c r="CL33" s="59">
        <f>IFERROR(IF(FIND(CL$1,$W33)&gt;0,IF(INDEX([1]!Product_Pricing_Table[#Data],MATCH(CL$1,Products,0),2)="Cores",IF(HostBuild[Use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3" s="59">
        <f>IFERROR(IF(FIND(CM$1,$W33)&gt;0,IF(INDEX([1]!Product_Pricing_Table[#Data],MATCH(CM$1,Products,0),2)="Cores",IF(HostBuild[Use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3" s="59">
        <f>IFERROR(IF(FIND(CN$1,$W33)&gt;0,IF(INDEX([1]!Product_Pricing_Table[#Data],MATCH(CN$1,Products,0),2)="Cores",IF(HostBuild[Use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3" s="59">
        <f>IFERROR(IF(FIND(CO$1,$W33)&gt;0,IF(INDEX([1]!Product_Pricing_Table[#Data],MATCH(CO$1,Products,0),2)="Cores",IF(HostBuild[Use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3" s="59">
        <f>IFERROR(IF(FIND(CP$1,$W33)&gt;0,IF(INDEX([1]!Product_Pricing_Table[#Data],MATCH(CP$1,Products,0),2)="Cores",IF(HostBuild[Use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3" s="59">
        <f>IFERROR(IF(FIND(CQ$1,$W33)&gt;0,IF(INDEX([1]!Product_Pricing_Table[#Data],MATCH(CQ$1,Products,0),2)="Cores",IF(HostBuild[Use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3" s="59">
        <f>IFERROR(IF(FIND(CR$1,$W33)&gt;0,IF(INDEX([1]!Product_Pricing_Table[#Data],MATCH(CR$1,Products,0),2)="Cores",IF(HostBuild[Use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3" s="59">
        <f>IFERROR(IF(FIND(CS$1,$W33)&gt;0,IF(INDEX([1]!Product_Pricing_Table[#Data],MATCH(CS$1,Products,0),2)="Cores",IF(HostBuild[Use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3" s="59">
        <f>IFERROR(IF(FIND(CT$1,$W33)&gt;0,IF(INDEX([1]!Product_Pricing_Table[#Data],MATCH(CT$1,Products,0),2)="Cores",IF(HostBuild[Use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3" s="59">
        <f>IFERROR(IF(FIND(CU$1,$W33)&gt;0,IF(INDEX([1]!Product_Pricing_Table[#Data],MATCH(CU$1,Products,0),2)="Cores",IF(HostBuild[Use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3" s="59">
        <f>IFERROR(IF(FIND(CV$1,$W33)&gt;0,IF(INDEX([1]!Product_Pricing_Table[#Data],MATCH(CV$1,Products,0),2)="Cores",IF(HostBuild[Use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3" s="59">
        <f>IFERROR(IF(FIND(CW$1,$W33)&gt;0,IF(INDEX([1]!Product_Pricing_Table[#Data],MATCH(CW$1,Products,0),2)="Cores",IF(HostBuild[Use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3" s="59">
        <f>IFERROR(IF(FIND(CX$1,$W33)&gt;0,IF(INDEX([1]!Product_Pricing_Table[#Data],MATCH(CX$1,Products,0),2)="Cores",IF(HostBuild[Use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3" s="59">
        <f>IFERROR(IF(FIND(CY$1,$W33)&gt;0,IF(INDEX([1]!Product_Pricing_Table[#Data],MATCH(CY$1,Products,0),2)="Cores",IF(HostBuild[Use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3" s="59">
        <f>IFERROR(IF(FIND(CZ$1,$W33)&gt;0,IF(INDEX([1]!Product_Pricing_Table[#Data],MATCH(CZ$1,Products,0),2)="Cores",IF(HostBuild[Use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3" s="59">
        <f>IFERROR(IF(FIND(DA$1,$W33)&gt;0,IF(INDEX([1]!Product_Pricing_Table[#Data],MATCH(DA$1,Products,0),2)="Cores",IF(HostBuild[Use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3" s="59">
        <f>IFERROR(IF(FIND(DB$1,$W33)&gt;0,IF(INDEX([1]!Product_Pricing_Table[#Data],MATCH(DB$1,Products,0),2)="Cores",IF(HostBuild[Use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3" s="59">
        <f>IFERROR(IF(FIND(DC$1,$W33)&gt;0,IF(INDEX([1]!Product_Pricing_Table[#Data],MATCH(DC$1,Products,0),2)="Cores",IF(HostBuild[Use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3" s="59">
        <f>IFERROR(IF(FIND(DD$1,$W33)&gt;0,IF(INDEX([1]!Product_Pricing_Table[#Data],MATCH(DD$1,Products,0),2)="Cores",IF(HostBuild[Use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3" s="59">
        <f>IFERROR(IF(FIND(DE$1,$W33)&gt;0,IF(INDEX([1]!Product_Pricing_Table[#Data],MATCH(DE$1,Products,0),2)="Cores",IF(HostBuild[Use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3" s="60">
        <f>IFERROR(IF(FIND(DF$1,$W33)&gt;0,IF(INDEX([1]!Product_Pricing_Table[#Data],MATCH(DF$1,Products,0),2)="Cores",IF(HostBuild[Use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3" s="60">
        <f>IFERROR(IF(FIND(DG$1,$W33)&gt;0,IF(INDEX([1]!Product_Pricing_Table[#Data],MATCH(DG$1,Products,0),2)="Cores",IF(HostBuild[Use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3" s="59">
        <f>IFERROR(IF(FIND(DH$1,$W33)&gt;0,IF(INDEX([1]!Product_Pricing_Table[#Data],MATCH(DH$1,Products,0),2)="Cores",IF(HostBuild[Use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3" s="60">
        <f>IFERROR(IF(FIND(DI$1,$W33)&gt;0,IF(INDEX([1]!Product_Pricing_Table[#Data],MATCH(DI$1,Products,0),2)="Cores",IF(HostBuild[Use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3" s="59">
        <f>IFERROR(IF(FIND(DJ$1,$W33)&gt;0,IF(INDEX([1]!Product_Pricing_Table[#Data],MATCH(DJ$1,Products,0),2)="Cores",IF(HostBuild[Use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3" s="59">
        <f>IFERROR(IF(FIND(DK$1,$W33)&gt;0,IF(INDEX([1]!Product_Pricing_Table[#Data],MATCH(DK$1,Products,0),2)="Cores",IF(HostBuild[Use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3" s="59">
        <f>IFERROR(IF(FIND(DL$1,$W33)&gt;0,IF(INDEX([1]!Product_Pricing_Table[#Data],MATCH(DL$1,Products,0),2)="Cores",IF(HostBuild[Use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3" s="59">
        <f>IFERROR(IF(FIND(DM$1,$W33)&gt;0,IF(INDEX([1]!Product_Pricing_Table[#Data],MATCH(DM$1,Products,0),2)="Cores",IF(HostBuild[Use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3" s="59">
        <f>IFERROR(IF(FIND(DN$1,$W33)&gt;0,IF(INDEX([1]!Product_Pricing_Table[#Data],MATCH(DN$1,Products,0),2)="Cores",IF(HostBuild[Use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3" s="59">
        <f>IFERROR(IF(FIND(DO$1,$W33)&gt;0,IF(INDEX([1]!Product_Pricing_Table[#Data],MATCH(DO$1,Products,0),2)="Cores",IF(HostBuild[Use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3" s="59">
        <f>IFERROR(IF(FIND(DP$1,$W33)&gt;0,IF(INDEX([1]!Product_Pricing_Table[#Data],MATCH(DP$1,Products,0),2)="Cores",IF(HostBuild[Use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3" s="59">
        <f>IFERROR(IF(FIND(DQ$1,$W33)&gt;0,IF(INDEX([1]!Product_Pricing_Table[#Data],MATCH(DQ$1,Products,0),2)="Cores",IF(HostBuild[Use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3" s="59">
        <f>IFERROR(IF(FIND(DR$1,$W33)&gt;0,IF(INDEX([1]!Product_Pricing_Table[#Data],MATCH(DR$1,Products,0),2)="Cores",IF(HostBuild[Use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3" s="59">
        <f>IFERROR(IF(FIND(DS$1,$W33)&gt;0,IF(INDEX([1]!Product_Pricing_Table[#Data],MATCH(DS$1,Products,0),2)="Cores",IF(HostBuild[Use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3" s="59">
        <f>IFERROR(IF(FIND(DT$1,$W33)&gt;0,IF(INDEX([1]!Product_Pricing_Table[#Data],MATCH(DT$1,Products,0),2)="Cores",IF(HostBuild[Use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3" s="59">
        <f>IFERROR(IF(FIND(DU$1,$W33)&gt;0,IF(INDEX([1]!Product_Pricing_Table[#Data],MATCH(DU$1,Products,0),2)="Cores",IF(HostBuild[Use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3" s="59">
        <f>IFERROR(IF(FIND(DV$1,$W33)&gt;0,IF(INDEX([1]!Product_Pricing_Table[#Data],MATCH(DV$1,Products,0),2)="Cores",IF(HostBuild[Use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3" s="59">
        <f>IFERROR(IF(FIND(DW$1,$W33)&gt;0,IF(INDEX([1]!Product_Pricing_Table[#Data],MATCH(DW$1,Products,0),2)="Cores",IF(HostBuild[Use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3" s="59">
        <f>IFERROR(IF(FIND(DX$1,$W33)&gt;0,IF(INDEX([1]!Product_Pricing_Table[#Data],MATCH(DX$1,Products,0),2)="Cores",IF(HostBuild[Use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3" s="59">
        <f>IFERROR(IF(FIND(DY$1,$W33)&gt;0,IF(INDEX([1]!Product_Pricing_Table[#Data],MATCH(DY$1,Products,0),2)="Cores",IF(HostBuild[Use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3" s="59">
        <f>IFERROR(IF(FIND(DZ$1,$W33)&gt;0,IF(INDEX([1]!Product_Pricing_Table[#Data],MATCH(DZ$1,Products,0),2)="Cores",IF(HostBuild[Use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3" s="59">
        <f>IFERROR(IF(FIND(EA$1,$W33)&gt;0,IF(INDEX([1]!Product_Pricing_Table[#Data],MATCH(EA$1,Products,0),2)="Cores",IF(HostBuild[Use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3" s="59">
        <f>IFERROR(IF(FIND(EB$1,$W33)&gt;0,IF(INDEX([1]!Product_Pricing_Table[#Data],MATCH(EB$1,Products,0),2)="Cores",IF(HostBuild[Use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3" s="60">
        <f>IFERROR(IF(FIND(EC$1,$W33)&gt;0,IF(INDEX([1]!Product_Pricing_Table[#Data],MATCH(EC$1,Products,0),2)="Cores",IF(HostBuild[Use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3" s="59">
        <f>IFERROR(IF(FIND(ED$1,$W33)&gt;0,IF(INDEX([1]!Product_Pricing_Table[#Data],MATCH(ED$1,Products,0),2)="Cores",IF(HostBuild[Use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3" s="59">
        <f>IFERROR(IF(FIND(EE$1,$W33)&gt;0,IF(INDEX([1]!Product_Pricing_Table[#Data],MATCH(EE$1,Products,0),2)="Cores",IF(HostBuild[Use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3" s="59">
        <f>IFERROR(IF(FIND(EF$1,$W33)&gt;0,IF(INDEX([1]!Product_Pricing_Table[#Data],MATCH(EF$1,Products,0),2)="Cores",IF(HostBuild[Use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3" s="59">
        <f>IFERROR(IF(FIND(EG$1,$W33)&gt;0,IF(INDEX([1]!Product_Pricing_Table[#Data],MATCH(EG$1,Products,0),2)="Cores",IF(HostBuild[Use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3" s="59">
        <f>IFERROR(IF(FIND(EH$1,$W33)&gt;0,IF(INDEX([1]!Product_Pricing_Table[#Data],MATCH(EH$1,Products,0),2)="Cores",IF(HostBuild[Use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3" s="59">
        <f>IFERROR(IF(FIND(EI$1,$W33)&gt;0,IF(INDEX([1]!Product_Pricing_Table[#Data],MATCH(EI$1,Products,0),2)="Cores",IF(HostBuild[Use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3" s="59">
        <f>IFERROR(IF(FIND(EJ$1,$W33)&gt;0,IF(INDEX([1]!Product_Pricing_Table[#Data],MATCH(EJ$1,Products,0),2)="Cores",IF(HostBuild[Use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3" s="60">
        <f>IFERROR(IF(FIND(EK$1,$W33)&gt;0,IF(INDEX([1]!Product_Pricing_Table[#Data],MATCH(EK$1,Products,0),2)="Cores",IF(HostBuild[Use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3" s="61"/>
      <c r="EM33" s="62"/>
      <c r="EN33" s="63"/>
      <c r="EO33"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3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3" s="132">
        <f>(HostBuild[Archive
Full (GB)]+HostBuild[Archive
Incr (GB)])*Storage_DC_Dist_Tape_2014</f>
        <v>0</v>
      </c>
      <c r="ER33" s="132">
        <f>IF(ISNUMBER(HostBuild[Server HW Costs
(Monthly)]),SUM(HostBuild[[#This Row],[Server HW Costs
(Monthly)]:[Tape Costs
(Monthly)]]),0)</f>
        <v>0</v>
      </c>
      <c r="ES33" s="65">
        <f>HostBuild[Software Costs
'[Year 1']
(Monthly)]+HostBuild[Total Hardware Costs
(Monthly)]</f>
        <v>0</v>
      </c>
      <c r="ET33" s="65">
        <f>IFERROR(IF(FIND("Safenet",HostBuild[Server Model]),Safenet_PSE_PL600_Maint,0),0)+IFERROR(IF(FIND("XI52",HostBuild[Server Model]),IBM_DIA_XI52_Maint,0),0)+HostBuild[Software Costs
'[After Year 1']
(Monthly)]+HostBuild[Total Hardware Costs
(Monthly)]</f>
        <v>0</v>
      </c>
      <c r="EU33" s="66">
        <f>SUM(HostBuild[[#This Row],[Server Cost Breakdown]:[Network Cost]])</f>
        <v>0</v>
      </c>
      <c r="EV33" s="67">
        <f>IF(HostBuild[Existing Server?]="Yes - Inside this BoM",0,SUMIF(HostBuild[Alias],HostBuild[Alias],HostBuild[CPU])+SUMIF(HostBuild[Alias],HostBuild[Alias],HostBuild[Existing CPUs]))</f>
        <v>0</v>
      </c>
      <c r="EW33" s="67">
        <f>IF(HostBuild[Existing Server?]="Yes - Inside this BoM",0,SUMIF(HostBuild[Alias],HostBuild[Alias],HostBuild[Cores 
(Licensed Units)])+SUMIF(HostBuild[Alias],HostBuild[Alias],HostBuild[Existing Cores]))</f>
        <v>0</v>
      </c>
      <c r="EX33" s="67">
        <f>IF(HostBuild[Existing Server?]="Yes - Inside this BoM",0,SUMIF(HostBuild[Alias],HostBuild[Alias],HostBuild[RAM 
(GB)])+SUMIF(HostBuild[Alias],HostBuild[Alias],HostBuild[Existing RAM (GB)]))</f>
        <v>0</v>
      </c>
      <c r="EY3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3" s="66">
        <f>IF(ISBLANK(HostBuild[Server Model]),0,IF(HostBuild[Server Tier]="VMware",0,VLOOKUP(HostBuild[Server Tier],[1]!ServerTierRates[#Data],2,0))*HostBuild[CPU]*IF(AND(HostBuild[Server Type]="pSeries",HostBuild[Virtual Platform Storage Type]="Cloud-SAN"),0.25,1))</f>
        <v>0</v>
      </c>
      <c r="FD33" s="66">
        <f>0</f>
        <v>0</v>
      </c>
      <c r="FE33" s="66">
        <f>IF(HostBuild[Server Type]="VMware",HostBuild[RAM 
(GB)]*IF(ISERROR(FIND("DevCloud", HostBuild[Server Model])&gt;0),vRAM_per_vCPU_2014_Monthly,vRAM_per_vCPU_2014_Daily*30),0)</f>
        <v>0</v>
      </c>
      <c r="FF3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3" s="69">
        <f>IF(HostBuild[Server Tier]="VMware",0,IF(LEFT(HostBuild[Existing Server?],3)="Yes",0,IF(OR(HostBuild[Server Type]="Sun",HostBuild[Server Type]="pSeries"),Support_Direct_Server_Sun_per_OS_2014,IF(HostBuild[Server Type]="x86",Support_Direct_Server_x86_Wintel_per_OS_2014,0))))</f>
        <v>0</v>
      </c>
      <c r="FI3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4" spans="1:165" hidden="1">
      <c r="A34" s="122" t="s">
        <v>53</v>
      </c>
      <c r="B34" s="36"/>
      <c r="C34" s="36"/>
      <c r="D34" s="36"/>
      <c r="E34" s="37"/>
      <c r="F34" s="37"/>
      <c r="G34" s="103"/>
      <c r="H34" s="103"/>
      <c r="I34" s="38"/>
      <c r="J34" s="37"/>
      <c r="K34" s="37"/>
      <c r="L34" s="37"/>
      <c r="M34" s="103" t="e">
        <f ca="1">IF(rngIsDate(HostBuild[CTO Acceptance]),"Y","N")</f>
        <v>#NAME?</v>
      </c>
      <c r="N34" s="123" t="s">
        <v>4</v>
      </c>
      <c r="O34" s="39"/>
      <c r="P34" s="39"/>
      <c r="Q34" s="123" t="s">
        <v>112</v>
      </c>
      <c r="R34" s="126" t="str">
        <f>IF(NOT(ISBLANK(HostBuild[Env Label])),IFERROR(VLOOKUP(HostBuild[Env Label],[1]!tEnv[#Data],3,FALSE),""),"")</f>
        <v/>
      </c>
      <c r="S34" s="104"/>
      <c r="T34" s="40"/>
      <c r="U34" s="105"/>
      <c r="V34" s="123" t="s">
        <v>115</v>
      </c>
      <c r="W34" s="123" t="s">
        <v>83</v>
      </c>
      <c r="X34" s="123" t="s">
        <v>57</v>
      </c>
      <c r="Y34" s="123" t="s">
        <v>58</v>
      </c>
      <c r="Z34" s="126" t="str">
        <f>IF(NOT(ISBLANK(HostBuild[[#This Row],[Product 
(Acronym)]])),CONCATENATE(HostBuild[[#This Row],[Type]],"-",HostBuild[[#This Row],[Product 
(Acronym)]]),"")</f>
        <v>AP-ESB</v>
      </c>
      <c r="AA34" s="106"/>
      <c r="AB34" s="106" t="s">
        <v>59</v>
      </c>
      <c r="AC34" s="41"/>
      <c r="AD34" s="42"/>
      <c r="AE34" s="42"/>
      <c r="AF34" s="43" t="s">
        <v>60</v>
      </c>
      <c r="AG34" s="124"/>
      <c r="AH34" s="107"/>
      <c r="AI34" s="124" t="s">
        <v>117</v>
      </c>
      <c r="AJ34" s="123">
        <f>IF(COUNTIF(HostBuild[Alias],HostBuild[Alias]),1/COUNTIF(HostBuild[Alias],HostBuild[Alias]),0)</f>
        <v>1</v>
      </c>
      <c r="AK34" s="124"/>
      <c r="AL34" s="124"/>
      <c r="AM34" s="44" t="s">
        <v>62</v>
      </c>
      <c r="AN34" s="45" t="str">
        <f>IF(NOT(ISBLANK(HostBuild[Server Model])),VLOOKUP(HostBuild[Server Model],[1]!ServerModelsTier[#Data],2,FALSE),"")</f>
        <v>x86 Tier 3</v>
      </c>
      <c r="AO34" s="45" t="str">
        <f>IF(NOT(ISBLANK(HostBuild[Server Model])),VLOOKUP(HostBuild[Server Model],[1]!ServerModelsTier[#Data],5,FALSE),"")</f>
        <v>x86</v>
      </c>
      <c r="AP34" s="44"/>
      <c r="AQ34" s="44" t="s">
        <v>63</v>
      </c>
      <c r="AR34" s="46"/>
      <c r="AS34" s="108"/>
      <c r="AT34" s="47"/>
      <c r="AU34" s="109" t="str">
        <f>IF(IFERROR(FIND("P-Series",HostBuild[Server Tier]),0),CEILING((HostBuild[Existing CPUs]+HostBuild[CPU])*16,8),"")</f>
        <v/>
      </c>
      <c r="AV34" s="48"/>
      <c r="AW34" s="124"/>
      <c r="AX34" s="124"/>
      <c r="AY34" s="124"/>
      <c r="AZ34" s="49"/>
      <c r="BA34" s="124"/>
      <c r="BB34" s="124"/>
      <c r="BC34" s="42"/>
      <c r="BD34" s="124"/>
      <c r="BE34" s="124"/>
      <c r="BF34" s="124"/>
      <c r="BG34" s="124"/>
      <c r="BH34" s="124"/>
      <c r="BI34" s="124"/>
      <c r="BJ34" s="124"/>
      <c r="BK34"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34" s="127"/>
      <c r="BM34" s="129">
        <f>IF(ISNUMBER(HostBuild[Recommended SAN (GB)]),HostBuild[Recommended SAN (GB)])+IF(HostBuild[Additional SAN (GB)]&gt;0,CEILING(HostBuild[Additional SAN (GB)],LUN),-(CEILING(-HostBuild[Additional SAN (GB)],LUN)))</f>
        <v>0</v>
      </c>
      <c r="BN34" s="128"/>
      <c r="BO34" s="129">
        <f>HostBuild[SAN (GB)
NEEDED TODAY]+CEILING(HostBuild[SAN (GB)
RESERVED
DO NOT USE TO BUILD], LUN)</f>
        <v>0</v>
      </c>
      <c r="BP34" s="130"/>
      <c r="BQ34" s="131"/>
      <c r="BR34" s="125" t="s">
        <v>76</v>
      </c>
      <c r="BS34" s="110">
        <f>IF(HostBuild[Existing Server?]&lt;&gt;"Yes - Inside this BoM",IF(ISNUMBER(HostBuild[RAM 
(GB)]),IF(HostBuild[Existing RAM (GB)]+HostBuild[RAM 
(GB)]&gt;0,IF(HostBuild[Virtual Platform Storage Type]="NAS",110+HostBuild[Existing RAM (GB)]+HostBuild[RAM 
(GB)]*1.75,0),0),0),0)</f>
        <v>0</v>
      </c>
      <c r="BT34" s="111"/>
      <c r="BU34" s="112">
        <f>IF(ISNUMBER(HostBuild[Recommended NAS (GB)]),HostBuild[Recommended NAS (GB)])+HostBuild[Additional NAS (GB)]</f>
        <v>0</v>
      </c>
      <c r="BV34" s="50"/>
      <c r="BW34" s="50"/>
      <c r="BX34" s="133">
        <f>IFERROR((HostBuild[SAN (GB)
End-State
DO NOT USE TO BUILD]+HostBuild[SAN (GB) Shared])*25%,"")</f>
        <v>0</v>
      </c>
      <c r="BY34" s="113">
        <f>IFERROR(HostBuild[Archive
Full (GB)]*15%,"")</f>
        <v>0</v>
      </c>
      <c r="BZ34" s="51"/>
      <c r="CA34" s="51"/>
      <c r="CB34" s="52"/>
      <c r="CC34" s="53"/>
      <c r="CD34" s="52"/>
      <c r="CE34" s="54"/>
      <c r="CF34" s="128"/>
      <c r="CG34" s="114"/>
      <c r="CH34" s="55"/>
      <c r="CI34" s="56"/>
      <c r="CJ34" s="57"/>
      <c r="CK34" s="58"/>
      <c r="CL34" s="59">
        <f>IFERROR(IF(FIND(CL$1,$W34)&gt;0,IF(INDEX([1]!Product_Pricing_Table[#Data],MATCH(CL$1,Products,0),2)="Cores",IF(HostBuild[Use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4" s="59">
        <f>IFERROR(IF(FIND(CM$1,$W34)&gt;0,IF(INDEX([1]!Product_Pricing_Table[#Data],MATCH(CM$1,Products,0),2)="Cores",IF(HostBuild[Use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4" s="59">
        <f>IFERROR(IF(FIND(CN$1,$W34)&gt;0,IF(INDEX([1]!Product_Pricing_Table[#Data],MATCH(CN$1,Products,0),2)="Cores",IF(HostBuild[Use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4" s="59">
        <f>IFERROR(IF(FIND(CO$1,$W34)&gt;0,IF(INDEX([1]!Product_Pricing_Table[#Data],MATCH(CO$1,Products,0),2)="Cores",IF(HostBuild[Use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4" s="59">
        <f>IFERROR(IF(FIND(CP$1,$W34)&gt;0,IF(INDEX([1]!Product_Pricing_Table[#Data],MATCH(CP$1,Products,0),2)="Cores",IF(HostBuild[Use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4" s="59">
        <f>IFERROR(IF(FIND(CQ$1,$W34)&gt;0,IF(INDEX([1]!Product_Pricing_Table[#Data],MATCH(CQ$1,Products,0),2)="Cores",IF(HostBuild[Use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4" s="59">
        <f>IFERROR(IF(FIND(CR$1,$W34)&gt;0,IF(INDEX([1]!Product_Pricing_Table[#Data],MATCH(CR$1,Products,0),2)="Cores",IF(HostBuild[Use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4" s="59">
        <f>IFERROR(IF(FIND(CS$1,$W34)&gt;0,IF(INDEX([1]!Product_Pricing_Table[#Data],MATCH(CS$1,Products,0),2)="Cores",IF(HostBuild[Use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4" s="59">
        <f>IFERROR(IF(FIND(CT$1,$W34)&gt;0,IF(INDEX([1]!Product_Pricing_Table[#Data],MATCH(CT$1,Products,0),2)="Cores",IF(HostBuild[Use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4" s="59">
        <f>IFERROR(IF(FIND(CU$1,$W34)&gt;0,IF(INDEX([1]!Product_Pricing_Table[#Data],MATCH(CU$1,Products,0),2)="Cores",IF(HostBuild[Use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4" s="59">
        <f>IFERROR(IF(FIND(CV$1,$W34)&gt;0,IF(INDEX([1]!Product_Pricing_Table[#Data],MATCH(CV$1,Products,0),2)="Cores",IF(HostBuild[Use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4" s="59">
        <f>IFERROR(IF(FIND(CW$1,$W34)&gt;0,IF(INDEX([1]!Product_Pricing_Table[#Data],MATCH(CW$1,Products,0),2)="Cores",IF(HostBuild[Use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4" s="59">
        <f>IFERROR(IF(FIND(CX$1,$W34)&gt;0,IF(INDEX([1]!Product_Pricing_Table[#Data],MATCH(CX$1,Products,0),2)="Cores",IF(HostBuild[Use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4" s="59">
        <f>IFERROR(IF(FIND(CY$1,$W34)&gt;0,IF(INDEX([1]!Product_Pricing_Table[#Data],MATCH(CY$1,Products,0),2)="Cores",IF(HostBuild[Use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4" s="59">
        <f>IFERROR(IF(FIND(CZ$1,$W34)&gt;0,IF(INDEX([1]!Product_Pricing_Table[#Data],MATCH(CZ$1,Products,0),2)="Cores",IF(HostBuild[Use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4" s="59">
        <f>IFERROR(IF(FIND(DA$1,$W34)&gt;0,IF(INDEX([1]!Product_Pricing_Table[#Data],MATCH(DA$1,Products,0),2)="Cores",IF(HostBuild[Use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4" s="59">
        <f>IFERROR(IF(FIND(DB$1,$W34)&gt;0,IF(INDEX([1]!Product_Pricing_Table[#Data],MATCH(DB$1,Products,0),2)="Cores",IF(HostBuild[Use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4" s="59">
        <f>IFERROR(IF(FIND(DC$1,$W34)&gt;0,IF(INDEX([1]!Product_Pricing_Table[#Data],MATCH(DC$1,Products,0),2)="Cores",IF(HostBuild[Use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4" s="59">
        <f>IFERROR(IF(FIND(DD$1,$W34)&gt;0,IF(INDEX([1]!Product_Pricing_Table[#Data],MATCH(DD$1,Products,0),2)="Cores",IF(HostBuild[Use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4" s="59">
        <f>IFERROR(IF(FIND(DE$1,$W34)&gt;0,IF(INDEX([1]!Product_Pricing_Table[#Data],MATCH(DE$1,Products,0),2)="Cores",IF(HostBuild[Use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4" s="60">
        <f>IFERROR(IF(FIND(DF$1,$W34)&gt;0,IF(INDEX([1]!Product_Pricing_Table[#Data],MATCH(DF$1,Products,0),2)="Cores",IF(HostBuild[Use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4" s="60">
        <f>IFERROR(IF(FIND(DG$1,$W34)&gt;0,IF(INDEX([1]!Product_Pricing_Table[#Data],MATCH(DG$1,Products,0),2)="Cores",IF(HostBuild[Use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4" s="59">
        <f>IFERROR(IF(FIND(DH$1,$W34)&gt;0,IF(INDEX([1]!Product_Pricing_Table[#Data],MATCH(DH$1,Products,0),2)="Cores",IF(HostBuild[Use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4" s="60">
        <f>IFERROR(IF(FIND(DI$1,$W34)&gt;0,IF(INDEX([1]!Product_Pricing_Table[#Data],MATCH(DI$1,Products,0),2)="Cores",IF(HostBuild[Use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4" s="59">
        <f>IFERROR(IF(FIND(DJ$1,$W34)&gt;0,IF(INDEX([1]!Product_Pricing_Table[#Data],MATCH(DJ$1,Products,0),2)="Cores",IF(HostBuild[Use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4" s="59">
        <f>IFERROR(IF(FIND(DK$1,$W34)&gt;0,IF(INDEX([1]!Product_Pricing_Table[#Data],MATCH(DK$1,Products,0),2)="Cores",IF(HostBuild[Use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4" s="59">
        <f>IFERROR(IF(FIND(DL$1,$W34)&gt;0,IF(INDEX([1]!Product_Pricing_Table[#Data],MATCH(DL$1,Products,0),2)="Cores",IF(HostBuild[Use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4" s="59">
        <f>IFERROR(IF(FIND(DM$1,$W34)&gt;0,IF(INDEX([1]!Product_Pricing_Table[#Data],MATCH(DM$1,Products,0),2)="Cores",IF(HostBuild[Use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4" s="59">
        <f>IFERROR(IF(FIND(DN$1,$W34)&gt;0,IF(INDEX([1]!Product_Pricing_Table[#Data],MATCH(DN$1,Products,0),2)="Cores",IF(HostBuild[Use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4" s="59">
        <f>IFERROR(IF(FIND(DO$1,$W34)&gt;0,IF(INDEX([1]!Product_Pricing_Table[#Data],MATCH(DO$1,Products,0),2)="Cores",IF(HostBuild[Use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4" s="59">
        <f>IFERROR(IF(FIND(DP$1,$W34)&gt;0,IF(INDEX([1]!Product_Pricing_Table[#Data],MATCH(DP$1,Products,0),2)="Cores",IF(HostBuild[Use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4" s="59">
        <f>IFERROR(IF(FIND(DQ$1,$W34)&gt;0,IF(INDEX([1]!Product_Pricing_Table[#Data],MATCH(DQ$1,Products,0),2)="Cores",IF(HostBuild[Use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4" s="59">
        <f>IFERROR(IF(FIND(DR$1,$W34)&gt;0,IF(INDEX([1]!Product_Pricing_Table[#Data],MATCH(DR$1,Products,0),2)="Cores",IF(HostBuild[Use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4" s="59">
        <f>IFERROR(IF(FIND(DS$1,$W34)&gt;0,IF(INDEX([1]!Product_Pricing_Table[#Data],MATCH(DS$1,Products,0),2)="Cores",IF(HostBuild[Use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4" s="59">
        <f>IFERROR(IF(FIND(DT$1,$W34)&gt;0,IF(INDEX([1]!Product_Pricing_Table[#Data],MATCH(DT$1,Products,0),2)="Cores",IF(HostBuild[Use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4" s="59">
        <f>IFERROR(IF(FIND(DU$1,$W34)&gt;0,IF(INDEX([1]!Product_Pricing_Table[#Data],MATCH(DU$1,Products,0),2)="Cores",IF(HostBuild[Use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4" s="59">
        <f>IFERROR(IF(FIND(DV$1,$W34)&gt;0,IF(INDEX([1]!Product_Pricing_Table[#Data],MATCH(DV$1,Products,0),2)="Cores",IF(HostBuild[Use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4" s="59">
        <f>IFERROR(IF(FIND(DW$1,$W34)&gt;0,IF(INDEX([1]!Product_Pricing_Table[#Data],MATCH(DW$1,Products,0),2)="Cores",IF(HostBuild[Use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4" s="59">
        <f>IFERROR(IF(FIND(DX$1,$W34)&gt;0,IF(INDEX([1]!Product_Pricing_Table[#Data],MATCH(DX$1,Products,0),2)="Cores",IF(HostBuild[Use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4" s="59">
        <f>IFERROR(IF(FIND(DY$1,$W34)&gt;0,IF(INDEX([1]!Product_Pricing_Table[#Data],MATCH(DY$1,Products,0),2)="Cores",IF(HostBuild[Use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4" s="59">
        <f>IFERROR(IF(FIND(DZ$1,$W34)&gt;0,IF(INDEX([1]!Product_Pricing_Table[#Data],MATCH(DZ$1,Products,0),2)="Cores",IF(HostBuild[Use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4" s="59">
        <f>IFERROR(IF(FIND(EA$1,$W34)&gt;0,IF(INDEX([1]!Product_Pricing_Table[#Data],MATCH(EA$1,Products,0),2)="Cores",IF(HostBuild[Use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4" s="59">
        <f>IFERROR(IF(FIND(EB$1,$W34)&gt;0,IF(INDEX([1]!Product_Pricing_Table[#Data],MATCH(EB$1,Products,0),2)="Cores",IF(HostBuild[Use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4" s="60">
        <f>IFERROR(IF(FIND(EC$1,$W34)&gt;0,IF(INDEX([1]!Product_Pricing_Table[#Data],MATCH(EC$1,Products,0),2)="Cores",IF(HostBuild[Use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4" s="59">
        <f>IFERROR(IF(FIND(ED$1,$W34)&gt;0,IF(INDEX([1]!Product_Pricing_Table[#Data],MATCH(ED$1,Products,0),2)="Cores",IF(HostBuild[Use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4" s="59">
        <f>IFERROR(IF(FIND(EE$1,$W34)&gt;0,IF(INDEX([1]!Product_Pricing_Table[#Data],MATCH(EE$1,Products,0),2)="Cores",IF(HostBuild[Use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4" s="59">
        <f>IFERROR(IF(FIND(EF$1,$W34)&gt;0,IF(INDEX([1]!Product_Pricing_Table[#Data],MATCH(EF$1,Products,0),2)="Cores",IF(HostBuild[Use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4" s="59">
        <f>IFERROR(IF(FIND(EG$1,$W34)&gt;0,IF(INDEX([1]!Product_Pricing_Table[#Data],MATCH(EG$1,Products,0),2)="Cores",IF(HostBuild[Use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4" s="59">
        <f>IFERROR(IF(FIND(EH$1,$W34)&gt;0,IF(INDEX([1]!Product_Pricing_Table[#Data],MATCH(EH$1,Products,0),2)="Cores",IF(HostBuild[Use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4" s="59">
        <f>IFERROR(IF(FIND(EI$1,$W34)&gt;0,IF(INDEX([1]!Product_Pricing_Table[#Data],MATCH(EI$1,Products,0),2)="Cores",IF(HostBuild[Use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4" s="59">
        <f>IFERROR(IF(FIND(EJ$1,$W34)&gt;0,IF(INDEX([1]!Product_Pricing_Table[#Data],MATCH(EJ$1,Products,0),2)="Cores",IF(HostBuild[Use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4" s="60">
        <f>IFERROR(IF(FIND(EK$1,$W34)&gt;0,IF(INDEX([1]!Product_Pricing_Table[#Data],MATCH(EK$1,Products,0),2)="Cores",IF(HostBuild[Use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4" s="61"/>
      <c r="EM34" s="62"/>
      <c r="EN34" s="63"/>
      <c r="EO34"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3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4" s="132">
        <f>(HostBuild[Archive
Full (GB)]+HostBuild[Archive
Incr (GB)])*Storage_DC_Dist_Tape_2014</f>
        <v>0</v>
      </c>
      <c r="ER34" s="132">
        <f>IF(ISNUMBER(HostBuild[Server HW Costs
(Monthly)]),SUM(HostBuild[[#This Row],[Server HW Costs
(Monthly)]:[Tape Costs
(Monthly)]]),0)</f>
        <v>0</v>
      </c>
      <c r="ES34" s="65">
        <f>HostBuild[Software Costs
'[Year 1']
(Monthly)]+HostBuild[Total Hardware Costs
(Monthly)]</f>
        <v>0</v>
      </c>
      <c r="ET34" s="65">
        <f>IFERROR(IF(FIND("Safenet",HostBuild[Server Model]),Safenet_PSE_PL600_Maint,0),0)+IFERROR(IF(FIND("XI52",HostBuild[Server Model]),IBM_DIA_XI52_Maint,0),0)+HostBuild[Software Costs
'[After Year 1']
(Monthly)]+HostBuild[Total Hardware Costs
(Monthly)]</f>
        <v>0</v>
      </c>
      <c r="EU34" s="66">
        <f>SUM(HostBuild[[#This Row],[Server Cost Breakdown]:[Network Cost]])</f>
        <v>0</v>
      </c>
      <c r="EV34" s="67">
        <f>IF(HostBuild[Existing Server?]="Yes - Inside this BoM",0,SUMIF(HostBuild[Alias],HostBuild[Alias],HostBuild[CPU])+SUMIF(HostBuild[Alias],HostBuild[Alias],HostBuild[Existing CPUs]))</f>
        <v>0</v>
      </c>
      <c r="EW34" s="67">
        <f>IF(HostBuild[Existing Server?]="Yes - Inside this BoM",0,SUMIF(HostBuild[Alias],HostBuild[Alias],HostBuild[Cores 
(Licensed Units)])+SUMIF(HostBuild[Alias],HostBuild[Alias],HostBuild[Existing Cores]))</f>
        <v>0</v>
      </c>
      <c r="EX34" s="67">
        <f>IF(HostBuild[Existing Server?]="Yes - Inside this BoM",0,SUMIF(HostBuild[Alias],HostBuild[Alias],HostBuild[RAM 
(GB)])+SUMIF(HostBuild[Alias],HostBuild[Alias],HostBuild[Existing RAM (GB)]))</f>
        <v>0</v>
      </c>
      <c r="EY3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4" s="66">
        <f>IF(ISBLANK(HostBuild[Server Model]),0,IF(HostBuild[Server Tier]="VMware",0,VLOOKUP(HostBuild[Server Tier],[1]!ServerTierRates[#Data],2,0))*HostBuild[CPU]*IF(AND(HostBuild[Server Type]="pSeries",HostBuild[Virtual Platform Storage Type]="Cloud-SAN"),0.25,1))</f>
        <v>0</v>
      </c>
      <c r="FD34" s="66">
        <f>0</f>
        <v>0</v>
      </c>
      <c r="FE34" s="66">
        <f>IF(HostBuild[Server Type]="VMware",HostBuild[RAM 
(GB)]*IF(ISERROR(FIND("DevCloud", HostBuild[Server Model])&gt;0),vRAM_per_vCPU_2014_Monthly,vRAM_per_vCPU_2014_Daily*30),0)</f>
        <v>0</v>
      </c>
      <c r="FF3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4" s="69">
        <f>IF(HostBuild[Server Tier]="VMware",0,IF(LEFT(HostBuild[Existing Server?],3)="Yes",0,IF(OR(HostBuild[Server Type]="Sun",HostBuild[Server Type]="pSeries"),Support_Direct_Server_Sun_per_OS_2014,IF(HostBuild[Server Type]="x86",Support_Direct_Server_x86_Wintel_per_OS_2014,0))))</f>
        <v>0</v>
      </c>
      <c r="FI3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5" spans="1:165" hidden="1">
      <c r="A35" s="122" t="s">
        <v>53</v>
      </c>
      <c r="B35" s="36"/>
      <c r="C35" s="36"/>
      <c r="D35" s="36"/>
      <c r="E35" s="37"/>
      <c r="F35" s="37"/>
      <c r="G35" s="103"/>
      <c r="H35" s="103"/>
      <c r="I35" s="38"/>
      <c r="J35" s="37"/>
      <c r="K35" s="37"/>
      <c r="L35" s="37"/>
      <c r="M35" s="103" t="e">
        <f ca="1">IF(rngIsDate(HostBuild[CTO Acceptance]),"Y","N")</f>
        <v>#NAME?</v>
      </c>
      <c r="N35" s="123" t="s">
        <v>4</v>
      </c>
      <c r="O35" s="39"/>
      <c r="P35" s="39"/>
      <c r="Q35" s="123" t="s">
        <v>112</v>
      </c>
      <c r="R35" s="126" t="str">
        <f>IF(NOT(ISBLANK(HostBuild[Env Label])),IFERROR(VLOOKUP(HostBuild[Env Label],[1]!tEnv[#Data],3,FALSE),""),"")</f>
        <v/>
      </c>
      <c r="S35" s="104"/>
      <c r="T35" s="40"/>
      <c r="U35" s="105"/>
      <c r="V35" s="123" t="s">
        <v>115</v>
      </c>
      <c r="W35" s="123" t="s">
        <v>83</v>
      </c>
      <c r="X35" s="123" t="s">
        <v>57</v>
      </c>
      <c r="Y35" s="123" t="s">
        <v>58</v>
      </c>
      <c r="Z35" s="126" t="str">
        <f>IF(NOT(ISBLANK(HostBuild[[#This Row],[Product 
(Acronym)]])),CONCATENATE(HostBuild[[#This Row],[Type]],"-",HostBuild[[#This Row],[Product 
(Acronym)]]),"")</f>
        <v>AP-ESB</v>
      </c>
      <c r="AA35" s="106"/>
      <c r="AB35" s="106" t="s">
        <v>59</v>
      </c>
      <c r="AC35" s="41"/>
      <c r="AD35" s="42"/>
      <c r="AE35" s="42"/>
      <c r="AF35" s="43" t="s">
        <v>60</v>
      </c>
      <c r="AG35" s="124"/>
      <c r="AH35" s="107"/>
      <c r="AI35" s="124" t="s">
        <v>118</v>
      </c>
      <c r="AJ35" s="123">
        <f>IF(COUNTIF(HostBuild[Alias],HostBuild[Alias]),1/COUNTIF(HostBuild[Alias],HostBuild[Alias]),0)</f>
        <v>1</v>
      </c>
      <c r="AK35" s="124"/>
      <c r="AL35" s="124"/>
      <c r="AM35" s="44" t="s">
        <v>62</v>
      </c>
      <c r="AN35" s="45" t="str">
        <f>IF(NOT(ISBLANK(HostBuild[Server Model])),VLOOKUP(HostBuild[Server Model],[1]!ServerModelsTier[#Data],2,FALSE),"")</f>
        <v>x86 Tier 3</v>
      </c>
      <c r="AO35" s="45" t="str">
        <f>IF(NOT(ISBLANK(HostBuild[Server Model])),VLOOKUP(HostBuild[Server Model],[1]!ServerModelsTier[#Data],5,FALSE),"")</f>
        <v>x86</v>
      </c>
      <c r="AP35" s="44"/>
      <c r="AQ35" s="44" t="s">
        <v>63</v>
      </c>
      <c r="AR35" s="46"/>
      <c r="AS35" s="108"/>
      <c r="AT35" s="47"/>
      <c r="AU35" s="109" t="str">
        <f>IF(IFERROR(FIND("P-Series",HostBuild[Server Tier]),0),CEILING((HostBuild[Existing CPUs]+HostBuild[CPU])*16,8),"")</f>
        <v/>
      </c>
      <c r="AV35" s="48"/>
      <c r="AW35" s="124"/>
      <c r="AX35" s="124"/>
      <c r="AY35" s="124"/>
      <c r="AZ35" s="49"/>
      <c r="BA35" s="124"/>
      <c r="BB35" s="124"/>
      <c r="BC35" s="42"/>
      <c r="BD35" s="124"/>
      <c r="BE35" s="124"/>
      <c r="BF35" s="124"/>
      <c r="BG35" s="124"/>
      <c r="BH35" s="124"/>
      <c r="BI35" s="124"/>
      <c r="BJ35" s="124"/>
      <c r="BK35"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35" s="127"/>
      <c r="BM35" s="129">
        <f>IF(ISNUMBER(HostBuild[Recommended SAN (GB)]),HostBuild[Recommended SAN (GB)])+IF(HostBuild[Additional SAN (GB)]&gt;0,CEILING(HostBuild[Additional SAN (GB)],LUN),-(CEILING(-HostBuild[Additional SAN (GB)],LUN)))</f>
        <v>0</v>
      </c>
      <c r="BN35" s="128"/>
      <c r="BO35" s="129">
        <f>HostBuild[SAN (GB)
NEEDED TODAY]+CEILING(HostBuild[SAN (GB)
RESERVED
DO NOT USE TO BUILD], LUN)</f>
        <v>0</v>
      </c>
      <c r="BP35" s="130"/>
      <c r="BQ35" s="131"/>
      <c r="BR35" s="125" t="s">
        <v>76</v>
      </c>
      <c r="BS35" s="110">
        <f>IF(HostBuild[Existing Server?]&lt;&gt;"Yes - Inside this BoM",IF(ISNUMBER(HostBuild[RAM 
(GB)]),IF(HostBuild[Existing RAM (GB)]+HostBuild[RAM 
(GB)]&gt;0,IF(HostBuild[Virtual Platform Storage Type]="NAS",110+HostBuild[Existing RAM (GB)]+HostBuild[RAM 
(GB)]*1.75,0),0),0),0)</f>
        <v>0</v>
      </c>
      <c r="BT35" s="111"/>
      <c r="BU35" s="112">
        <f>IF(ISNUMBER(HostBuild[Recommended NAS (GB)]),HostBuild[Recommended NAS (GB)])+HostBuild[Additional NAS (GB)]</f>
        <v>0</v>
      </c>
      <c r="BV35" s="50"/>
      <c r="BW35" s="50"/>
      <c r="BX35" s="133">
        <f>IFERROR((HostBuild[SAN (GB)
End-State
DO NOT USE TO BUILD]+HostBuild[SAN (GB) Shared])*25%,"")</f>
        <v>0</v>
      </c>
      <c r="BY35" s="113">
        <f>IFERROR(HostBuild[Archive
Full (GB)]*15%,"")</f>
        <v>0</v>
      </c>
      <c r="BZ35" s="51"/>
      <c r="CA35" s="51"/>
      <c r="CB35" s="52"/>
      <c r="CC35" s="53"/>
      <c r="CD35" s="52"/>
      <c r="CE35" s="54"/>
      <c r="CF35" s="128"/>
      <c r="CG35" s="114"/>
      <c r="CH35" s="55"/>
      <c r="CI35" s="56"/>
      <c r="CJ35" s="57"/>
      <c r="CK35" s="58"/>
      <c r="CL35" s="59">
        <f>IFERROR(IF(FIND(CL$1,$W35)&gt;0,IF(INDEX([1]!Product_Pricing_Table[#Data],MATCH(CL$1,Products,0),2)="Cores",IF(HostBuild[Use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5" s="59">
        <f>IFERROR(IF(FIND(CM$1,$W35)&gt;0,IF(INDEX([1]!Product_Pricing_Table[#Data],MATCH(CM$1,Products,0),2)="Cores",IF(HostBuild[Use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5" s="59">
        <f>IFERROR(IF(FIND(CN$1,$W35)&gt;0,IF(INDEX([1]!Product_Pricing_Table[#Data],MATCH(CN$1,Products,0),2)="Cores",IF(HostBuild[Use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5" s="59">
        <f>IFERROR(IF(FIND(CO$1,$W35)&gt;0,IF(INDEX([1]!Product_Pricing_Table[#Data],MATCH(CO$1,Products,0),2)="Cores",IF(HostBuild[Use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5" s="59">
        <f>IFERROR(IF(FIND(CP$1,$W35)&gt;0,IF(INDEX([1]!Product_Pricing_Table[#Data],MATCH(CP$1,Products,0),2)="Cores",IF(HostBuild[Use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5" s="59">
        <f>IFERROR(IF(FIND(CQ$1,$W35)&gt;0,IF(INDEX([1]!Product_Pricing_Table[#Data],MATCH(CQ$1,Products,0),2)="Cores",IF(HostBuild[Use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5" s="59">
        <f>IFERROR(IF(FIND(CR$1,$W35)&gt;0,IF(INDEX([1]!Product_Pricing_Table[#Data],MATCH(CR$1,Products,0),2)="Cores",IF(HostBuild[Use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5" s="59">
        <f>IFERROR(IF(FIND(CS$1,$W35)&gt;0,IF(INDEX([1]!Product_Pricing_Table[#Data],MATCH(CS$1,Products,0),2)="Cores",IF(HostBuild[Use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5" s="59">
        <f>IFERROR(IF(FIND(CT$1,$W35)&gt;0,IF(INDEX([1]!Product_Pricing_Table[#Data],MATCH(CT$1,Products,0),2)="Cores",IF(HostBuild[Use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5" s="59">
        <f>IFERROR(IF(FIND(CU$1,$W35)&gt;0,IF(INDEX([1]!Product_Pricing_Table[#Data],MATCH(CU$1,Products,0),2)="Cores",IF(HostBuild[Use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5" s="59">
        <f>IFERROR(IF(FIND(CV$1,$W35)&gt;0,IF(INDEX([1]!Product_Pricing_Table[#Data],MATCH(CV$1,Products,0),2)="Cores",IF(HostBuild[Use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5" s="59">
        <f>IFERROR(IF(FIND(CW$1,$W35)&gt;0,IF(INDEX([1]!Product_Pricing_Table[#Data],MATCH(CW$1,Products,0),2)="Cores",IF(HostBuild[Use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5" s="59">
        <f>IFERROR(IF(FIND(CX$1,$W35)&gt;0,IF(INDEX([1]!Product_Pricing_Table[#Data],MATCH(CX$1,Products,0),2)="Cores",IF(HostBuild[Use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5" s="59">
        <f>IFERROR(IF(FIND(CY$1,$W35)&gt;0,IF(INDEX([1]!Product_Pricing_Table[#Data],MATCH(CY$1,Products,0),2)="Cores",IF(HostBuild[Use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5" s="59">
        <f>IFERROR(IF(FIND(CZ$1,$W35)&gt;0,IF(INDEX([1]!Product_Pricing_Table[#Data],MATCH(CZ$1,Products,0),2)="Cores",IF(HostBuild[Use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5" s="59">
        <f>IFERROR(IF(FIND(DA$1,$W35)&gt;0,IF(INDEX([1]!Product_Pricing_Table[#Data],MATCH(DA$1,Products,0),2)="Cores",IF(HostBuild[Use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5" s="59">
        <f>IFERROR(IF(FIND(DB$1,$W35)&gt;0,IF(INDEX([1]!Product_Pricing_Table[#Data],MATCH(DB$1,Products,0),2)="Cores",IF(HostBuild[Use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5" s="59">
        <f>IFERROR(IF(FIND(DC$1,$W35)&gt;0,IF(INDEX([1]!Product_Pricing_Table[#Data],MATCH(DC$1,Products,0),2)="Cores",IF(HostBuild[Use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5" s="59">
        <f>IFERROR(IF(FIND(DD$1,$W35)&gt;0,IF(INDEX([1]!Product_Pricing_Table[#Data],MATCH(DD$1,Products,0),2)="Cores",IF(HostBuild[Use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5" s="59">
        <f>IFERROR(IF(FIND(DE$1,$W35)&gt;0,IF(INDEX([1]!Product_Pricing_Table[#Data],MATCH(DE$1,Products,0),2)="Cores",IF(HostBuild[Use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5" s="60">
        <f>IFERROR(IF(FIND(DF$1,$W35)&gt;0,IF(INDEX([1]!Product_Pricing_Table[#Data],MATCH(DF$1,Products,0),2)="Cores",IF(HostBuild[Use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5" s="60">
        <f>IFERROR(IF(FIND(DG$1,$W35)&gt;0,IF(INDEX([1]!Product_Pricing_Table[#Data],MATCH(DG$1,Products,0),2)="Cores",IF(HostBuild[Use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5" s="59">
        <f>IFERROR(IF(FIND(DH$1,$W35)&gt;0,IF(INDEX([1]!Product_Pricing_Table[#Data],MATCH(DH$1,Products,0),2)="Cores",IF(HostBuild[Use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5" s="60">
        <f>IFERROR(IF(FIND(DI$1,$W35)&gt;0,IF(INDEX([1]!Product_Pricing_Table[#Data],MATCH(DI$1,Products,0),2)="Cores",IF(HostBuild[Use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5" s="59">
        <f>IFERROR(IF(FIND(DJ$1,$W35)&gt;0,IF(INDEX([1]!Product_Pricing_Table[#Data],MATCH(DJ$1,Products,0),2)="Cores",IF(HostBuild[Use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5" s="59">
        <f>IFERROR(IF(FIND(DK$1,$W35)&gt;0,IF(INDEX([1]!Product_Pricing_Table[#Data],MATCH(DK$1,Products,0),2)="Cores",IF(HostBuild[Use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5" s="59">
        <f>IFERROR(IF(FIND(DL$1,$W35)&gt;0,IF(INDEX([1]!Product_Pricing_Table[#Data],MATCH(DL$1,Products,0),2)="Cores",IF(HostBuild[Use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5" s="59">
        <f>IFERROR(IF(FIND(DM$1,$W35)&gt;0,IF(INDEX([1]!Product_Pricing_Table[#Data],MATCH(DM$1,Products,0),2)="Cores",IF(HostBuild[Use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5" s="59">
        <f>IFERROR(IF(FIND(DN$1,$W35)&gt;0,IF(INDEX([1]!Product_Pricing_Table[#Data],MATCH(DN$1,Products,0),2)="Cores",IF(HostBuild[Use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5" s="59">
        <f>IFERROR(IF(FIND(DO$1,$W35)&gt;0,IF(INDEX([1]!Product_Pricing_Table[#Data],MATCH(DO$1,Products,0),2)="Cores",IF(HostBuild[Use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5" s="59">
        <f>IFERROR(IF(FIND(DP$1,$W35)&gt;0,IF(INDEX([1]!Product_Pricing_Table[#Data],MATCH(DP$1,Products,0),2)="Cores",IF(HostBuild[Use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5" s="59">
        <f>IFERROR(IF(FIND(DQ$1,$W35)&gt;0,IF(INDEX([1]!Product_Pricing_Table[#Data],MATCH(DQ$1,Products,0),2)="Cores",IF(HostBuild[Use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5" s="59">
        <f>IFERROR(IF(FIND(DR$1,$W35)&gt;0,IF(INDEX([1]!Product_Pricing_Table[#Data],MATCH(DR$1,Products,0),2)="Cores",IF(HostBuild[Use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5" s="59">
        <f>IFERROR(IF(FIND(DS$1,$W35)&gt;0,IF(INDEX([1]!Product_Pricing_Table[#Data],MATCH(DS$1,Products,0),2)="Cores",IF(HostBuild[Use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5" s="59">
        <f>IFERROR(IF(FIND(DT$1,$W35)&gt;0,IF(INDEX([1]!Product_Pricing_Table[#Data],MATCH(DT$1,Products,0),2)="Cores",IF(HostBuild[Use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5" s="59">
        <f>IFERROR(IF(FIND(DU$1,$W35)&gt;0,IF(INDEX([1]!Product_Pricing_Table[#Data],MATCH(DU$1,Products,0),2)="Cores",IF(HostBuild[Use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5" s="59">
        <f>IFERROR(IF(FIND(DV$1,$W35)&gt;0,IF(INDEX([1]!Product_Pricing_Table[#Data],MATCH(DV$1,Products,0),2)="Cores",IF(HostBuild[Use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5" s="59">
        <f>IFERROR(IF(FIND(DW$1,$W35)&gt;0,IF(INDEX([1]!Product_Pricing_Table[#Data],MATCH(DW$1,Products,0),2)="Cores",IF(HostBuild[Use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5" s="59">
        <f>IFERROR(IF(FIND(DX$1,$W35)&gt;0,IF(INDEX([1]!Product_Pricing_Table[#Data],MATCH(DX$1,Products,0),2)="Cores",IF(HostBuild[Use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5" s="59">
        <f>IFERROR(IF(FIND(DY$1,$W35)&gt;0,IF(INDEX([1]!Product_Pricing_Table[#Data],MATCH(DY$1,Products,0),2)="Cores",IF(HostBuild[Use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5" s="59">
        <f>IFERROR(IF(FIND(DZ$1,$W35)&gt;0,IF(INDEX([1]!Product_Pricing_Table[#Data],MATCH(DZ$1,Products,0),2)="Cores",IF(HostBuild[Use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5" s="59">
        <f>IFERROR(IF(FIND(EA$1,$W35)&gt;0,IF(INDEX([1]!Product_Pricing_Table[#Data],MATCH(EA$1,Products,0),2)="Cores",IF(HostBuild[Use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5" s="59">
        <f>IFERROR(IF(FIND(EB$1,$W35)&gt;0,IF(INDEX([1]!Product_Pricing_Table[#Data],MATCH(EB$1,Products,0),2)="Cores",IF(HostBuild[Use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5" s="60">
        <f>IFERROR(IF(FIND(EC$1,$W35)&gt;0,IF(INDEX([1]!Product_Pricing_Table[#Data],MATCH(EC$1,Products,0),2)="Cores",IF(HostBuild[Use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5" s="59">
        <f>IFERROR(IF(FIND(ED$1,$W35)&gt;0,IF(INDEX([1]!Product_Pricing_Table[#Data],MATCH(ED$1,Products,0),2)="Cores",IF(HostBuild[Use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5" s="59">
        <f>IFERROR(IF(FIND(EE$1,$W35)&gt;0,IF(INDEX([1]!Product_Pricing_Table[#Data],MATCH(EE$1,Products,0),2)="Cores",IF(HostBuild[Use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5" s="59">
        <f>IFERROR(IF(FIND(EF$1,$W35)&gt;0,IF(INDEX([1]!Product_Pricing_Table[#Data],MATCH(EF$1,Products,0),2)="Cores",IF(HostBuild[Use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5" s="59">
        <f>IFERROR(IF(FIND(EG$1,$W35)&gt;0,IF(INDEX([1]!Product_Pricing_Table[#Data],MATCH(EG$1,Products,0),2)="Cores",IF(HostBuild[Use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5" s="59">
        <f>IFERROR(IF(FIND(EH$1,$W35)&gt;0,IF(INDEX([1]!Product_Pricing_Table[#Data],MATCH(EH$1,Products,0),2)="Cores",IF(HostBuild[Use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5" s="59">
        <f>IFERROR(IF(FIND(EI$1,$W35)&gt;0,IF(INDEX([1]!Product_Pricing_Table[#Data],MATCH(EI$1,Products,0),2)="Cores",IF(HostBuild[Use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5" s="59">
        <f>IFERROR(IF(FIND(EJ$1,$W35)&gt;0,IF(INDEX([1]!Product_Pricing_Table[#Data],MATCH(EJ$1,Products,0),2)="Cores",IF(HostBuild[Use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5" s="60">
        <f>IFERROR(IF(FIND(EK$1,$W35)&gt;0,IF(INDEX([1]!Product_Pricing_Table[#Data],MATCH(EK$1,Products,0),2)="Cores",IF(HostBuild[Use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5" s="61"/>
      <c r="EM35" s="62"/>
      <c r="EN35" s="63"/>
      <c r="EO35"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3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5" s="132">
        <f>(HostBuild[Archive
Full (GB)]+HostBuild[Archive
Incr (GB)])*Storage_DC_Dist_Tape_2014</f>
        <v>0</v>
      </c>
      <c r="ER35" s="132">
        <f>IF(ISNUMBER(HostBuild[Server HW Costs
(Monthly)]),SUM(HostBuild[[#This Row],[Server HW Costs
(Monthly)]:[Tape Costs
(Monthly)]]),0)</f>
        <v>0</v>
      </c>
      <c r="ES35" s="65">
        <f>HostBuild[Software Costs
'[Year 1']
(Monthly)]+HostBuild[Total Hardware Costs
(Monthly)]</f>
        <v>0</v>
      </c>
      <c r="ET35" s="65">
        <f>IFERROR(IF(FIND("Safenet",HostBuild[Server Model]),Safenet_PSE_PL600_Maint,0),0)+IFERROR(IF(FIND("XI52",HostBuild[Server Model]),IBM_DIA_XI52_Maint,0),0)+HostBuild[Software Costs
'[After Year 1']
(Monthly)]+HostBuild[Total Hardware Costs
(Monthly)]</f>
        <v>0</v>
      </c>
      <c r="EU35" s="66">
        <f>SUM(HostBuild[[#This Row],[Server Cost Breakdown]:[Network Cost]])</f>
        <v>0</v>
      </c>
      <c r="EV35" s="67">
        <f>IF(HostBuild[Existing Server?]="Yes - Inside this BoM",0,SUMIF(HostBuild[Alias],HostBuild[Alias],HostBuild[CPU])+SUMIF(HostBuild[Alias],HostBuild[Alias],HostBuild[Existing CPUs]))</f>
        <v>0</v>
      </c>
      <c r="EW35" s="67">
        <f>IF(HostBuild[Existing Server?]="Yes - Inside this BoM",0,SUMIF(HostBuild[Alias],HostBuild[Alias],HostBuild[Cores 
(Licensed Units)])+SUMIF(HostBuild[Alias],HostBuild[Alias],HostBuild[Existing Cores]))</f>
        <v>0</v>
      </c>
      <c r="EX35" s="67">
        <f>IF(HostBuild[Existing Server?]="Yes - Inside this BoM",0,SUMIF(HostBuild[Alias],HostBuild[Alias],HostBuild[RAM 
(GB)])+SUMIF(HostBuild[Alias],HostBuild[Alias],HostBuild[Existing RAM (GB)]))</f>
        <v>0</v>
      </c>
      <c r="EY3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5" s="66">
        <f>IF(ISBLANK(HostBuild[Server Model]),0,IF(HostBuild[Server Tier]="VMware",0,VLOOKUP(HostBuild[Server Tier],[1]!ServerTierRates[#Data],2,0))*HostBuild[CPU]*IF(AND(HostBuild[Server Type]="pSeries",HostBuild[Virtual Platform Storage Type]="Cloud-SAN"),0.25,1))</f>
        <v>0</v>
      </c>
      <c r="FD35" s="66">
        <f>0</f>
        <v>0</v>
      </c>
      <c r="FE35" s="66">
        <f>IF(HostBuild[Server Type]="VMware",HostBuild[RAM 
(GB)]*IF(ISERROR(FIND("DevCloud", HostBuild[Server Model])&gt;0),vRAM_per_vCPU_2014_Monthly,vRAM_per_vCPU_2014_Daily*30),0)</f>
        <v>0</v>
      </c>
      <c r="FF3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5" s="69">
        <f>IF(HostBuild[Server Tier]="VMware",0,IF(LEFT(HostBuild[Existing Server?],3)="Yes",0,IF(OR(HostBuild[Server Type]="Sun",HostBuild[Server Type]="pSeries"),Support_Direct_Server_Sun_per_OS_2014,IF(HostBuild[Server Type]="x86",Support_Direct_Server_x86_Wintel_per_OS_2014,0))))</f>
        <v>0</v>
      </c>
      <c r="FI3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6" spans="1:165" hidden="1">
      <c r="A36" s="122" t="s">
        <v>53</v>
      </c>
      <c r="B36" s="36"/>
      <c r="C36" s="36"/>
      <c r="D36" s="36"/>
      <c r="E36" s="37"/>
      <c r="F36" s="37"/>
      <c r="G36" s="103"/>
      <c r="H36" s="103"/>
      <c r="I36" s="38"/>
      <c r="J36" s="37"/>
      <c r="K36" s="37"/>
      <c r="L36" s="37"/>
      <c r="M36" s="103" t="e">
        <f ca="1">IF(rngIsDate(HostBuild[CTO Acceptance]),"Y","N")</f>
        <v>#NAME?</v>
      </c>
      <c r="N36" s="123" t="s">
        <v>4</v>
      </c>
      <c r="O36" s="39"/>
      <c r="P36" s="39"/>
      <c r="Q36" s="123" t="s">
        <v>112</v>
      </c>
      <c r="R36" s="126" t="str">
        <f>IF(NOT(ISBLANK(HostBuild[Env Label])),IFERROR(VLOOKUP(HostBuild[Env Label],[1]!tEnv[#Data],3,FALSE),""),"")</f>
        <v/>
      </c>
      <c r="S36" s="104"/>
      <c r="T36" s="40"/>
      <c r="U36" s="105"/>
      <c r="V36" s="123" t="s">
        <v>115</v>
      </c>
      <c r="W36" s="123" t="s">
        <v>83</v>
      </c>
      <c r="X36" s="123" t="s">
        <v>57</v>
      </c>
      <c r="Y36" s="123" t="s">
        <v>58</v>
      </c>
      <c r="Z36" s="126" t="str">
        <f>IF(NOT(ISBLANK(HostBuild[[#This Row],[Product 
(Acronym)]])),CONCATENATE(HostBuild[[#This Row],[Type]],"-",HostBuild[[#This Row],[Product 
(Acronym)]]),"")</f>
        <v>AP-ESB</v>
      </c>
      <c r="AA36" s="106"/>
      <c r="AB36" s="106" t="s">
        <v>59</v>
      </c>
      <c r="AC36" s="41"/>
      <c r="AD36" s="42"/>
      <c r="AE36" s="42"/>
      <c r="AF36" s="43" t="s">
        <v>60</v>
      </c>
      <c r="AG36" s="124"/>
      <c r="AH36" s="107"/>
      <c r="AI36" s="124" t="s">
        <v>119</v>
      </c>
      <c r="AJ36" s="123">
        <f>IF(COUNTIF(HostBuild[Alias],HostBuild[Alias]),1/COUNTIF(HostBuild[Alias],HostBuild[Alias]),0)</f>
        <v>1</v>
      </c>
      <c r="AK36" s="124"/>
      <c r="AL36" s="124"/>
      <c r="AM36" s="44" t="s">
        <v>62</v>
      </c>
      <c r="AN36" s="45" t="str">
        <f>IF(NOT(ISBLANK(HostBuild[Server Model])),VLOOKUP(HostBuild[Server Model],[1]!ServerModelsTier[#Data],2,FALSE),"")</f>
        <v>x86 Tier 3</v>
      </c>
      <c r="AO36" s="45" t="str">
        <f>IF(NOT(ISBLANK(HostBuild[Server Model])),VLOOKUP(HostBuild[Server Model],[1]!ServerModelsTier[#Data],5,FALSE),"")</f>
        <v>x86</v>
      </c>
      <c r="AP36" s="44"/>
      <c r="AQ36" s="44" t="s">
        <v>63</v>
      </c>
      <c r="AR36" s="46"/>
      <c r="AS36" s="108"/>
      <c r="AT36" s="47"/>
      <c r="AU36" s="109" t="str">
        <f>IF(IFERROR(FIND("P-Series",HostBuild[Server Tier]),0),CEILING((HostBuild[Existing CPUs]+HostBuild[CPU])*16,8),"")</f>
        <v/>
      </c>
      <c r="AV36" s="48"/>
      <c r="AW36" s="124"/>
      <c r="AX36" s="124"/>
      <c r="AY36" s="124"/>
      <c r="AZ36" s="49"/>
      <c r="BA36" s="124"/>
      <c r="BB36" s="124"/>
      <c r="BC36" s="42"/>
      <c r="BD36" s="124"/>
      <c r="BE36" s="124"/>
      <c r="BF36" s="124"/>
      <c r="BG36" s="124"/>
      <c r="BH36" s="124"/>
      <c r="BI36" s="124"/>
      <c r="BJ36" s="124"/>
      <c r="BK36"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36" s="127"/>
      <c r="BM36" s="129">
        <f>IF(ISNUMBER(HostBuild[Recommended SAN (GB)]),HostBuild[Recommended SAN (GB)])+IF(HostBuild[Additional SAN (GB)]&gt;0,CEILING(HostBuild[Additional SAN (GB)],LUN),-(CEILING(-HostBuild[Additional SAN (GB)],LUN)))</f>
        <v>0</v>
      </c>
      <c r="BN36" s="128"/>
      <c r="BO36" s="129">
        <f>HostBuild[SAN (GB)
NEEDED TODAY]+CEILING(HostBuild[SAN (GB)
RESERVED
DO NOT USE TO BUILD], LUN)</f>
        <v>0</v>
      </c>
      <c r="BP36" s="130"/>
      <c r="BQ36" s="131"/>
      <c r="BR36" s="125" t="s">
        <v>76</v>
      </c>
      <c r="BS36" s="110">
        <f>IF(HostBuild[Existing Server?]&lt;&gt;"Yes - Inside this BoM",IF(ISNUMBER(HostBuild[RAM 
(GB)]),IF(HostBuild[Existing RAM (GB)]+HostBuild[RAM 
(GB)]&gt;0,IF(HostBuild[Virtual Platform Storage Type]="NAS",110+HostBuild[Existing RAM (GB)]+HostBuild[RAM 
(GB)]*1.75,0),0),0),0)</f>
        <v>0</v>
      </c>
      <c r="BT36" s="111"/>
      <c r="BU36" s="112">
        <f>IF(ISNUMBER(HostBuild[Recommended NAS (GB)]),HostBuild[Recommended NAS (GB)])+HostBuild[Additional NAS (GB)]</f>
        <v>0</v>
      </c>
      <c r="BV36" s="50"/>
      <c r="BW36" s="50"/>
      <c r="BX36" s="133">
        <f>IFERROR((HostBuild[SAN (GB)
End-State
DO NOT USE TO BUILD]+HostBuild[SAN (GB) Shared])*25%,"")</f>
        <v>0</v>
      </c>
      <c r="BY36" s="113">
        <f>IFERROR(HostBuild[Archive
Full (GB)]*15%,"")</f>
        <v>0</v>
      </c>
      <c r="BZ36" s="51"/>
      <c r="CA36" s="51"/>
      <c r="CB36" s="52"/>
      <c r="CC36" s="53"/>
      <c r="CD36" s="52"/>
      <c r="CE36" s="54"/>
      <c r="CF36" s="128"/>
      <c r="CG36" s="114"/>
      <c r="CH36" s="55"/>
      <c r="CI36" s="56"/>
      <c r="CJ36" s="57"/>
      <c r="CK36" s="58"/>
      <c r="CL36" s="59">
        <f>IFERROR(IF(FIND(CL$1,$W36)&gt;0,IF(INDEX([1]!Product_Pricing_Table[#Data],MATCH(CL$1,Products,0),2)="Cores",IF(HostBuild[Use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6" s="59">
        <f>IFERROR(IF(FIND(CM$1,$W36)&gt;0,IF(INDEX([1]!Product_Pricing_Table[#Data],MATCH(CM$1,Products,0),2)="Cores",IF(HostBuild[Use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6" s="59">
        <f>IFERROR(IF(FIND(CN$1,$W36)&gt;0,IF(INDEX([1]!Product_Pricing_Table[#Data],MATCH(CN$1,Products,0),2)="Cores",IF(HostBuild[Use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6" s="59">
        <f>IFERROR(IF(FIND(CO$1,$W36)&gt;0,IF(INDEX([1]!Product_Pricing_Table[#Data],MATCH(CO$1,Products,0),2)="Cores",IF(HostBuild[Use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6" s="59">
        <f>IFERROR(IF(FIND(CP$1,$W36)&gt;0,IF(INDEX([1]!Product_Pricing_Table[#Data],MATCH(CP$1,Products,0),2)="Cores",IF(HostBuild[Use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6" s="59">
        <f>IFERROR(IF(FIND(CQ$1,$W36)&gt;0,IF(INDEX([1]!Product_Pricing_Table[#Data],MATCH(CQ$1,Products,0),2)="Cores",IF(HostBuild[Use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6" s="59">
        <f>IFERROR(IF(FIND(CR$1,$W36)&gt;0,IF(INDEX([1]!Product_Pricing_Table[#Data],MATCH(CR$1,Products,0),2)="Cores",IF(HostBuild[Use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6" s="59">
        <f>IFERROR(IF(FIND(CS$1,$W36)&gt;0,IF(INDEX([1]!Product_Pricing_Table[#Data],MATCH(CS$1,Products,0),2)="Cores",IF(HostBuild[Use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6" s="59">
        <f>IFERROR(IF(FIND(CT$1,$W36)&gt;0,IF(INDEX([1]!Product_Pricing_Table[#Data],MATCH(CT$1,Products,0),2)="Cores",IF(HostBuild[Use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6" s="59">
        <f>IFERROR(IF(FIND(CU$1,$W36)&gt;0,IF(INDEX([1]!Product_Pricing_Table[#Data],MATCH(CU$1,Products,0),2)="Cores",IF(HostBuild[Use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6" s="59">
        <f>IFERROR(IF(FIND(CV$1,$W36)&gt;0,IF(INDEX([1]!Product_Pricing_Table[#Data],MATCH(CV$1,Products,0),2)="Cores",IF(HostBuild[Use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6" s="59">
        <f>IFERROR(IF(FIND(CW$1,$W36)&gt;0,IF(INDEX([1]!Product_Pricing_Table[#Data],MATCH(CW$1,Products,0),2)="Cores",IF(HostBuild[Use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6" s="59">
        <f>IFERROR(IF(FIND(CX$1,$W36)&gt;0,IF(INDEX([1]!Product_Pricing_Table[#Data],MATCH(CX$1,Products,0),2)="Cores",IF(HostBuild[Use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6" s="59">
        <f>IFERROR(IF(FIND(CY$1,$W36)&gt;0,IF(INDEX([1]!Product_Pricing_Table[#Data],MATCH(CY$1,Products,0),2)="Cores",IF(HostBuild[Use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6" s="59">
        <f>IFERROR(IF(FIND(CZ$1,$W36)&gt;0,IF(INDEX([1]!Product_Pricing_Table[#Data],MATCH(CZ$1,Products,0),2)="Cores",IF(HostBuild[Use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6" s="59">
        <f>IFERROR(IF(FIND(DA$1,$W36)&gt;0,IF(INDEX([1]!Product_Pricing_Table[#Data],MATCH(DA$1,Products,0),2)="Cores",IF(HostBuild[Use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6" s="59">
        <f>IFERROR(IF(FIND(DB$1,$W36)&gt;0,IF(INDEX([1]!Product_Pricing_Table[#Data],MATCH(DB$1,Products,0),2)="Cores",IF(HostBuild[Use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6" s="59">
        <f>IFERROR(IF(FIND(DC$1,$W36)&gt;0,IF(INDEX([1]!Product_Pricing_Table[#Data],MATCH(DC$1,Products,0),2)="Cores",IF(HostBuild[Use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6" s="59">
        <f>IFERROR(IF(FIND(DD$1,$W36)&gt;0,IF(INDEX([1]!Product_Pricing_Table[#Data],MATCH(DD$1,Products,0),2)="Cores",IF(HostBuild[Use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6" s="59">
        <f>IFERROR(IF(FIND(DE$1,$W36)&gt;0,IF(INDEX([1]!Product_Pricing_Table[#Data],MATCH(DE$1,Products,0),2)="Cores",IF(HostBuild[Use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6" s="60">
        <f>IFERROR(IF(FIND(DF$1,$W36)&gt;0,IF(INDEX([1]!Product_Pricing_Table[#Data],MATCH(DF$1,Products,0),2)="Cores",IF(HostBuild[Use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6" s="60">
        <f>IFERROR(IF(FIND(DG$1,$W36)&gt;0,IF(INDEX([1]!Product_Pricing_Table[#Data],MATCH(DG$1,Products,0),2)="Cores",IF(HostBuild[Use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6" s="59">
        <f>IFERROR(IF(FIND(DH$1,$W36)&gt;0,IF(INDEX([1]!Product_Pricing_Table[#Data],MATCH(DH$1,Products,0),2)="Cores",IF(HostBuild[Use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6" s="60">
        <f>IFERROR(IF(FIND(DI$1,$W36)&gt;0,IF(INDEX([1]!Product_Pricing_Table[#Data],MATCH(DI$1,Products,0),2)="Cores",IF(HostBuild[Use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6" s="59">
        <f>IFERROR(IF(FIND(DJ$1,$W36)&gt;0,IF(INDEX([1]!Product_Pricing_Table[#Data],MATCH(DJ$1,Products,0),2)="Cores",IF(HostBuild[Use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6" s="59">
        <f>IFERROR(IF(FIND(DK$1,$W36)&gt;0,IF(INDEX([1]!Product_Pricing_Table[#Data],MATCH(DK$1,Products,0),2)="Cores",IF(HostBuild[Use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6" s="59">
        <f>IFERROR(IF(FIND(DL$1,$W36)&gt;0,IF(INDEX([1]!Product_Pricing_Table[#Data],MATCH(DL$1,Products,0),2)="Cores",IF(HostBuild[Use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6" s="59">
        <f>IFERROR(IF(FIND(DM$1,$W36)&gt;0,IF(INDEX([1]!Product_Pricing_Table[#Data],MATCH(DM$1,Products,0),2)="Cores",IF(HostBuild[Use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6" s="59">
        <f>IFERROR(IF(FIND(DN$1,$W36)&gt;0,IF(INDEX([1]!Product_Pricing_Table[#Data],MATCH(DN$1,Products,0),2)="Cores",IF(HostBuild[Use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6" s="59">
        <f>IFERROR(IF(FIND(DO$1,$W36)&gt;0,IF(INDEX([1]!Product_Pricing_Table[#Data],MATCH(DO$1,Products,0),2)="Cores",IF(HostBuild[Use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6" s="59">
        <f>IFERROR(IF(FIND(DP$1,$W36)&gt;0,IF(INDEX([1]!Product_Pricing_Table[#Data],MATCH(DP$1,Products,0),2)="Cores",IF(HostBuild[Use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6" s="59">
        <f>IFERROR(IF(FIND(DQ$1,$W36)&gt;0,IF(INDEX([1]!Product_Pricing_Table[#Data],MATCH(DQ$1,Products,0),2)="Cores",IF(HostBuild[Use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6" s="59">
        <f>IFERROR(IF(FIND(DR$1,$W36)&gt;0,IF(INDEX([1]!Product_Pricing_Table[#Data],MATCH(DR$1,Products,0),2)="Cores",IF(HostBuild[Use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6" s="59">
        <f>IFERROR(IF(FIND(DS$1,$W36)&gt;0,IF(INDEX([1]!Product_Pricing_Table[#Data],MATCH(DS$1,Products,0),2)="Cores",IF(HostBuild[Use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6" s="59">
        <f>IFERROR(IF(FIND(DT$1,$W36)&gt;0,IF(INDEX([1]!Product_Pricing_Table[#Data],MATCH(DT$1,Products,0),2)="Cores",IF(HostBuild[Use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6" s="59">
        <f>IFERROR(IF(FIND(DU$1,$W36)&gt;0,IF(INDEX([1]!Product_Pricing_Table[#Data],MATCH(DU$1,Products,0),2)="Cores",IF(HostBuild[Use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6" s="59">
        <f>IFERROR(IF(FIND(DV$1,$W36)&gt;0,IF(INDEX([1]!Product_Pricing_Table[#Data],MATCH(DV$1,Products,0),2)="Cores",IF(HostBuild[Use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6" s="59">
        <f>IFERROR(IF(FIND(DW$1,$W36)&gt;0,IF(INDEX([1]!Product_Pricing_Table[#Data],MATCH(DW$1,Products,0),2)="Cores",IF(HostBuild[Use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6" s="59">
        <f>IFERROR(IF(FIND(DX$1,$W36)&gt;0,IF(INDEX([1]!Product_Pricing_Table[#Data],MATCH(DX$1,Products,0),2)="Cores",IF(HostBuild[Use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6" s="59">
        <f>IFERROR(IF(FIND(DY$1,$W36)&gt;0,IF(INDEX([1]!Product_Pricing_Table[#Data],MATCH(DY$1,Products,0),2)="Cores",IF(HostBuild[Use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6" s="59">
        <f>IFERROR(IF(FIND(DZ$1,$W36)&gt;0,IF(INDEX([1]!Product_Pricing_Table[#Data],MATCH(DZ$1,Products,0),2)="Cores",IF(HostBuild[Use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6" s="59">
        <f>IFERROR(IF(FIND(EA$1,$W36)&gt;0,IF(INDEX([1]!Product_Pricing_Table[#Data],MATCH(EA$1,Products,0),2)="Cores",IF(HostBuild[Use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6" s="59">
        <f>IFERROR(IF(FIND(EB$1,$W36)&gt;0,IF(INDEX([1]!Product_Pricing_Table[#Data],MATCH(EB$1,Products,0),2)="Cores",IF(HostBuild[Use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6" s="60">
        <f>IFERROR(IF(FIND(EC$1,$W36)&gt;0,IF(INDEX([1]!Product_Pricing_Table[#Data],MATCH(EC$1,Products,0),2)="Cores",IF(HostBuild[Use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6" s="59">
        <f>IFERROR(IF(FIND(ED$1,$W36)&gt;0,IF(INDEX([1]!Product_Pricing_Table[#Data],MATCH(ED$1,Products,0),2)="Cores",IF(HostBuild[Use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6" s="59">
        <f>IFERROR(IF(FIND(EE$1,$W36)&gt;0,IF(INDEX([1]!Product_Pricing_Table[#Data],MATCH(EE$1,Products,0),2)="Cores",IF(HostBuild[Use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6" s="59">
        <f>IFERROR(IF(FIND(EF$1,$W36)&gt;0,IF(INDEX([1]!Product_Pricing_Table[#Data],MATCH(EF$1,Products,0),2)="Cores",IF(HostBuild[Use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6" s="59">
        <f>IFERROR(IF(FIND(EG$1,$W36)&gt;0,IF(INDEX([1]!Product_Pricing_Table[#Data],MATCH(EG$1,Products,0),2)="Cores",IF(HostBuild[Use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6" s="59">
        <f>IFERROR(IF(FIND(EH$1,$W36)&gt;0,IF(INDEX([1]!Product_Pricing_Table[#Data],MATCH(EH$1,Products,0),2)="Cores",IF(HostBuild[Use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6" s="59">
        <f>IFERROR(IF(FIND(EI$1,$W36)&gt;0,IF(INDEX([1]!Product_Pricing_Table[#Data],MATCH(EI$1,Products,0),2)="Cores",IF(HostBuild[Use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6" s="59">
        <f>IFERROR(IF(FIND(EJ$1,$W36)&gt;0,IF(INDEX([1]!Product_Pricing_Table[#Data],MATCH(EJ$1,Products,0),2)="Cores",IF(HostBuild[Use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6" s="60">
        <f>IFERROR(IF(FIND(EK$1,$W36)&gt;0,IF(INDEX([1]!Product_Pricing_Table[#Data],MATCH(EK$1,Products,0),2)="Cores",IF(HostBuild[Use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6" s="61"/>
      <c r="EM36" s="62"/>
      <c r="EN36" s="63"/>
      <c r="EO36"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3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6" s="132">
        <f>(HostBuild[Archive
Full (GB)]+HostBuild[Archive
Incr (GB)])*Storage_DC_Dist_Tape_2014</f>
        <v>0</v>
      </c>
      <c r="ER36" s="132">
        <f>IF(ISNUMBER(HostBuild[Server HW Costs
(Monthly)]),SUM(HostBuild[[#This Row],[Server HW Costs
(Monthly)]:[Tape Costs
(Monthly)]]),0)</f>
        <v>0</v>
      </c>
      <c r="ES36" s="65">
        <f>HostBuild[Software Costs
'[Year 1']
(Monthly)]+HostBuild[Total Hardware Costs
(Monthly)]</f>
        <v>0</v>
      </c>
      <c r="ET36" s="65">
        <f>IFERROR(IF(FIND("Safenet",HostBuild[Server Model]),Safenet_PSE_PL600_Maint,0),0)+IFERROR(IF(FIND("XI52",HostBuild[Server Model]),IBM_DIA_XI52_Maint,0),0)+HostBuild[Software Costs
'[After Year 1']
(Monthly)]+HostBuild[Total Hardware Costs
(Monthly)]</f>
        <v>0</v>
      </c>
      <c r="EU36" s="66">
        <f>SUM(HostBuild[[#This Row],[Server Cost Breakdown]:[Network Cost]])</f>
        <v>0</v>
      </c>
      <c r="EV36" s="67">
        <f>IF(HostBuild[Existing Server?]="Yes - Inside this BoM",0,SUMIF(HostBuild[Alias],HostBuild[Alias],HostBuild[CPU])+SUMIF(HostBuild[Alias],HostBuild[Alias],HostBuild[Existing CPUs]))</f>
        <v>0</v>
      </c>
      <c r="EW36" s="67">
        <f>IF(HostBuild[Existing Server?]="Yes - Inside this BoM",0,SUMIF(HostBuild[Alias],HostBuild[Alias],HostBuild[Cores 
(Licensed Units)])+SUMIF(HostBuild[Alias],HostBuild[Alias],HostBuild[Existing Cores]))</f>
        <v>0</v>
      </c>
      <c r="EX36" s="67">
        <f>IF(HostBuild[Existing Server?]="Yes - Inside this BoM",0,SUMIF(HostBuild[Alias],HostBuild[Alias],HostBuild[RAM 
(GB)])+SUMIF(HostBuild[Alias],HostBuild[Alias],HostBuild[Existing RAM (GB)]))</f>
        <v>0</v>
      </c>
      <c r="EY3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6" s="66">
        <f>IF(ISBLANK(HostBuild[Server Model]),0,IF(HostBuild[Server Tier]="VMware",0,VLOOKUP(HostBuild[Server Tier],[1]!ServerTierRates[#Data],2,0))*HostBuild[CPU]*IF(AND(HostBuild[Server Type]="pSeries",HostBuild[Virtual Platform Storage Type]="Cloud-SAN"),0.25,1))</f>
        <v>0</v>
      </c>
      <c r="FD36" s="66">
        <f>0</f>
        <v>0</v>
      </c>
      <c r="FE36" s="66">
        <f>IF(HostBuild[Server Type]="VMware",HostBuild[RAM 
(GB)]*IF(ISERROR(FIND("DevCloud", HostBuild[Server Model])&gt;0),vRAM_per_vCPU_2014_Monthly,vRAM_per_vCPU_2014_Daily*30),0)</f>
        <v>0</v>
      </c>
      <c r="FF3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6" s="69">
        <f>IF(HostBuild[Server Tier]="VMware",0,IF(LEFT(HostBuild[Existing Server?],3)="Yes",0,IF(OR(HostBuild[Server Type]="Sun",HostBuild[Server Type]="pSeries"),Support_Direct_Server_Sun_per_OS_2014,IF(HostBuild[Server Type]="x86",Support_Direct_Server_x86_Wintel_per_OS_2014,0))))</f>
        <v>0</v>
      </c>
      <c r="FI3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7" spans="1:165" hidden="1">
      <c r="A37" s="122" t="s">
        <v>53</v>
      </c>
      <c r="B37" s="36"/>
      <c r="C37" s="36"/>
      <c r="D37" s="36"/>
      <c r="E37" s="37"/>
      <c r="F37" s="37"/>
      <c r="G37" s="103"/>
      <c r="H37" s="103"/>
      <c r="I37" s="38"/>
      <c r="J37" s="37"/>
      <c r="K37" s="37"/>
      <c r="L37" s="37"/>
      <c r="M37" s="103" t="e">
        <f ca="1">IF(rngIsDate(HostBuild[CTO Acceptance]),"Y","N")</f>
        <v>#NAME?</v>
      </c>
      <c r="N37" s="123" t="s">
        <v>4</v>
      </c>
      <c r="O37" s="39"/>
      <c r="P37" s="39"/>
      <c r="Q37" s="123" t="s">
        <v>112</v>
      </c>
      <c r="R37" s="126" t="str">
        <f>IF(NOT(ISBLANK(HostBuild[Env Label])),IFERROR(VLOOKUP(HostBuild[Env Label],[1]!tEnv[#Data],3,FALSE),""),"")</f>
        <v/>
      </c>
      <c r="S37" s="104"/>
      <c r="T37" s="40"/>
      <c r="U37" s="105"/>
      <c r="V37" s="123" t="s">
        <v>115</v>
      </c>
      <c r="W37" s="123" t="s">
        <v>83</v>
      </c>
      <c r="X37" s="123" t="s">
        <v>57</v>
      </c>
      <c r="Y37" s="123" t="s">
        <v>58</v>
      </c>
      <c r="Z37" s="126" t="str">
        <f>IF(NOT(ISBLANK(HostBuild[[#This Row],[Product 
(Acronym)]])),CONCATENATE(HostBuild[[#This Row],[Type]],"-",HostBuild[[#This Row],[Product 
(Acronym)]]),"")</f>
        <v>AP-ESB</v>
      </c>
      <c r="AA37" s="106"/>
      <c r="AB37" s="106" t="s">
        <v>59</v>
      </c>
      <c r="AC37" s="41"/>
      <c r="AD37" s="42"/>
      <c r="AE37" s="42"/>
      <c r="AF37" s="43" t="s">
        <v>60</v>
      </c>
      <c r="AG37" s="124"/>
      <c r="AH37" s="107"/>
      <c r="AI37" s="124" t="s">
        <v>120</v>
      </c>
      <c r="AJ37" s="123">
        <f>IF(COUNTIF(HostBuild[Alias],HostBuild[Alias]),1/COUNTIF(HostBuild[Alias],HostBuild[Alias]),0)</f>
        <v>1</v>
      </c>
      <c r="AK37" s="124"/>
      <c r="AL37" s="124"/>
      <c r="AM37" s="44" t="s">
        <v>62</v>
      </c>
      <c r="AN37" s="45" t="str">
        <f>IF(NOT(ISBLANK(HostBuild[Server Model])),VLOOKUP(HostBuild[Server Model],[1]!ServerModelsTier[#Data],2,FALSE),"")</f>
        <v>x86 Tier 3</v>
      </c>
      <c r="AO37" s="45" t="str">
        <f>IF(NOT(ISBLANK(HostBuild[Server Model])),VLOOKUP(HostBuild[Server Model],[1]!ServerModelsTier[#Data],5,FALSE),"")</f>
        <v>x86</v>
      </c>
      <c r="AP37" s="44"/>
      <c r="AQ37" s="44" t="s">
        <v>63</v>
      </c>
      <c r="AR37" s="46"/>
      <c r="AS37" s="108"/>
      <c r="AT37" s="47"/>
      <c r="AU37" s="109" t="str">
        <f>IF(IFERROR(FIND("P-Series",HostBuild[Server Tier]),0),CEILING((HostBuild[Existing CPUs]+HostBuild[CPU])*16,8),"")</f>
        <v/>
      </c>
      <c r="AV37" s="48"/>
      <c r="AW37" s="124"/>
      <c r="AX37" s="124"/>
      <c r="AY37" s="124"/>
      <c r="AZ37" s="49"/>
      <c r="BA37" s="124"/>
      <c r="BB37" s="124"/>
      <c r="BC37" s="42"/>
      <c r="BD37" s="124"/>
      <c r="BE37" s="124"/>
      <c r="BF37" s="124"/>
      <c r="BG37" s="124"/>
      <c r="BH37" s="124"/>
      <c r="BI37" s="124"/>
      <c r="BJ37" s="124"/>
      <c r="BK37"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37" s="127"/>
      <c r="BM37" s="129">
        <f>IF(ISNUMBER(HostBuild[Recommended SAN (GB)]),HostBuild[Recommended SAN (GB)])+IF(HostBuild[Additional SAN (GB)]&gt;0,CEILING(HostBuild[Additional SAN (GB)],LUN),-(CEILING(-HostBuild[Additional SAN (GB)],LUN)))</f>
        <v>0</v>
      </c>
      <c r="BN37" s="128"/>
      <c r="BO37" s="129">
        <f>HostBuild[SAN (GB)
NEEDED TODAY]+CEILING(HostBuild[SAN (GB)
RESERVED
DO NOT USE TO BUILD], LUN)</f>
        <v>0</v>
      </c>
      <c r="BP37" s="130"/>
      <c r="BQ37" s="131"/>
      <c r="BR37" s="125" t="s">
        <v>76</v>
      </c>
      <c r="BS37" s="110">
        <f>IF(HostBuild[Existing Server?]&lt;&gt;"Yes - Inside this BoM",IF(ISNUMBER(HostBuild[RAM 
(GB)]),IF(HostBuild[Existing RAM (GB)]+HostBuild[RAM 
(GB)]&gt;0,IF(HostBuild[Virtual Platform Storage Type]="NAS",110+HostBuild[Existing RAM (GB)]+HostBuild[RAM 
(GB)]*1.75,0),0),0),0)</f>
        <v>0</v>
      </c>
      <c r="BT37" s="111"/>
      <c r="BU37" s="112">
        <f>IF(ISNUMBER(HostBuild[Recommended NAS (GB)]),HostBuild[Recommended NAS (GB)])+HostBuild[Additional NAS (GB)]</f>
        <v>0</v>
      </c>
      <c r="BV37" s="50"/>
      <c r="BW37" s="50"/>
      <c r="BX37" s="133">
        <f>IFERROR((HostBuild[SAN (GB)
End-State
DO NOT USE TO BUILD]+HostBuild[SAN (GB) Shared])*25%,"")</f>
        <v>0</v>
      </c>
      <c r="BY37" s="113">
        <f>IFERROR(HostBuild[Archive
Full (GB)]*15%,"")</f>
        <v>0</v>
      </c>
      <c r="BZ37" s="51"/>
      <c r="CA37" s="51"/>
      <c r="CB37" s="52"/>
      <c r="CC37" s="53"/>
      <c r="CD37" s="52"/>
      <c r="CE37" s="54"/>
      <c r="CF37" s="128"/>
      <c r="CG37" s="114"/>
      <c r="CH37" s="55"/>
      <c r="CI37" s="56"/>
      <c r="CJ37" s="57"/>
      <c r="CK37" s="58"/>
      <c r="CL37" s="59">
        <f>IFERROR(IF(FIND(CL$1,$W37)&gt;0,IF(INDEX([1]!Product_Pricing_Table[#Data],MATCH(CL$1,Products,0),2)="Cores",IF(HostBuild[Use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7" s="59">
        <f>IFERROR(IF(FIND(CM$1,$W37)&gt;0,IF(INDEX([1]!Product_Pricing_Table[#Data],MATCH(CM$1,Products,0),2)="Cores",IF(HostBuild[Use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7" s="59">
        <f>IFERROR(IF(FIND(CN$1,$W37)&gt;0,IF(INDEX([1]!Product_Pricing_Table[#Data],MATCH(CN$1,Products,0),2)="Cores",IF(HostBuild[Use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7" s="59">
        <f>IFERROR(IF(FIND(CO$1,$W37)&gt;0,IF(INDEX([1]!Product_Pricing_Table[#Data],MATCH(CO$1,Products,0),2)="Cores",IF(HostBuild[Use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7" s="59">
        <f>IFERROR(IF(FIND(CP$1,$W37)&gt;0,IF(INDEX([1]!Product_Pricing_Table[#Data],MATCH(CP$1,Products,0),2)="Cores",IF(HostBuild[Use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7" s="59">
        <f>IFERROR(IF(FIND(CQ$1,$W37)&gt;0,IF(INDEX([1]!Product_Pricing_Table[#Data],MATCH(CQ$1,Products,0),2)="Cores",IF(HostBuild[Use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7" s="59">
        <f>IFERROR(IF(FIND(CR$1,$W37)&gt;0,IF(INDEX([1]!Product_Pricing_Table[#Data],MATCH(CR$1,Products,0),2)="Cores",IF(HostBuild[Use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7" s="59">
        <f>IFERROR(IF(FIND(CS$1,$W37)&gt;0,IF(INDEX([1]!Product_Pricing_Table[#Data],MATCH(CS$1,Products,0),2)="Cores",IF(HostBuild[Use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7" s="59">
        <f>IFERROR(IF(FIND(CT$1,$W37)&gt;0,IF(INDEX([1]!Product_Pricing_Table[#Data],MATCH(CT$1,Products,0),2)="Cores",IF(HostBuild[Use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7" s="59">
        <f>IFERROR(IF(FIND(CU$1,$W37)&gt;0,IF(INDEX([1]!Product_Pricing_Table[#Data],MATCH(CU$1,Products,0),2)="Cores",IF(HostBuild[Use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7" s="59">
        <f>IFERROR(IF(FIND(CV$1,$W37)&gt;0,IF(INDEX([1]!Product_Pricing_Table[#Data],MATCH(CV$1,Products,0),2)="Cores",IF(HostBuild[Use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7" s="59">
        <f>IFERROR(IF(FIND(CW$1,$W37)&gt;0,IF(INDEX([1]!Product_Pricing_Table[#Data],MATCH(CW$1,Products,0),2)="Cores",IF(HostBuild[Use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7" s="59">
        <f>IFERROR(IF(FIND(CX$1,$W37)&gt;0,IF(INDEX([1]!Product_Pricing_Table[#Data],MATCH(CX$1,Products,0),2)="Cores",IF(HostBuild[Use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7" s="59">
        <f>IFERROR(IF(FIND(CY$1,$W37)&gt;0,IF(INDEX([1]!Product_Pricing_Table[#Data],MATCH(CY$1,Products,0),2)="Cores",IF(HostBuild[Use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7" s="59">
        <f>IFERROR(IF(FIND(CZ$1,$W37)&gt;0,IF(INDEX([1]!Product_Pricing_Table[#Data],MATCH(CZ$1,Products,0),2)="Cores",IF(HostBuild[Use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7" s="59">
        <f>IFERROR(IF(FIND(DA$1,$W37)&gt;0,IF(INDEX([1]!Product_Pricing_Table[#Data],MATCH(DA$1,Products,0),2)="Cores",IF(HostBuild[Use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7" s="59">
        <f>IFERROR(IF(FIND(DB$1,$W37)&gt;0,IF(INDEX([1]!Product_Pricing_Table[#Data],MATCH(DB$1,Products,0),2)="Cores",IF(HostBuild[Use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7" s="59">
        <f>IFERROR(IF(FIND(DC$1,$W37)&gt;0,IF(INDEX([1]!Product_Pricing_Table[#Data],MATCH(DC$1,Products,0),2)="Cores",IF(HostBuild[Use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7" s="59">
        <f>IFERROR(IF(FIND(DD$1,$W37)&gt;0,IF(INDEX([1]!Product_Pricing_Table[#Data],MATCH(DD$1,Products,0),2)="Cores",IF(HostBuild[Use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7" s="59">
        <f>IFERROR(IF(FIND(DE$1,$W37)&gt;0,IF(INDEX([1]!Product_Pricing_Table[#Data],MATCH(DE$1,Products,0),2)="Cores",IF(HostBuild[Use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7" s="60">
        <f>IFERROR(IF(FIND(DF$1,$W37)&gt;0,IF(INDEX([1]!Product_Pricing_Table[#Data],MATCH(DF$1,Products,0),2)="Cores",IF(HostBuild[Use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7" s="60">
        <f>IFERROR(IF(FIND(DG$1,$W37)&gt;0,IF(INDEX([1]!Product_Pricing_Table[#Data],MATCH(DG$1,Products,0),2)="Cores",IF(HostBuild[Use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7" s="59">
        <f>IFERROR(IF(FIND(DH$1,$W37)&gt;0,IF(INDEX([1]!Product_Pricing_Table[#Data],MATCH(DH$1,Products,0),2)="Cores",IF(HostBuild[Use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7" s="60">
        <f>IFERROR(IF(FIND(DI$1,$W37)&gt;0,IF(INDEX([1]!Product_Pricing_Table[#Data],MATCH(DI$1,Products,0),2)="Cores",IF(HostBuild[Use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7" s="59">
        <f>IFERROR(IF(FIND(DJ$1,$W37)&gt;0,IF(INDEX([1]!Product_Pricing_Table[#Data],MATCH(DJ$1,Products,0),2)="Cores",IF(HostBuild[Use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7" s="59">
        <f>IFERROR(IF(FIND(DK$1,$W37)&gt;0,IF(INDEX([1]!Product_Pricing_Table[#Data],MATCH(DK$1,Products,0),2)="Cores",IF(HostBuild[Use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7" s="59">
        <f>IFERROR(IF(FIND(DL$1,$W37)&gt;0,IF(INDEX([1]!Product_Pricing_Table[#Data],MATCH(DL$1,Products,0),2)="Cores",IF(HostBuild[Use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7" s="59">
        <f>IFERROR(IF(FIND(DM$1,$W37)&gt;0,IF(INDEX([1]!Product_Pricing_Table[#Data],MATCH(DM$1,Products,0),2)="Cores",IF(HostBuild[Use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7" s="59">
        <f>IFERROR(IF(FIND(DN$1,$W37)&gt;0,IF(INDEX([1]!Product_Pricing_Table[#Data],MATCH(DN$1,Products,0),2)="Cores",IF(HostBuild[Use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7" s="59">
        <f>IFERROR(IF(FIND(DO$1,$W37)&gt;0,IF(INDEX([1]!Product_Pricing_Table[#Data],MATCH(DO$1,Products,0),2)="Cores",IF(HostBuild[Use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7" s="59">
        <f>IFERROR(IF(FIND(DP$1,$W37)&gt;0,IF(INDEX([1]!Product_Pricing_Table[#Data],MATCH(DP$1,Products,0),2)="Cores",IF(HostBuild[Use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7" s="59">
        <f>IFERROR(IF(FIND(DQ$1,$W37)&gt;0,IF(INDEX([1]!Product_Pricing_Table[#Data],MATCH(DQ$1,Products,0),2)="Cores",IF(HostBuild[Use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7" s="59">
        <f>IFERROR(IF(FIND(DR$1,$W37)&gt;0,IF(INDEX([1]!Product_Pricing_Table[#Data],MATCH(DR$1,Products,0),2)="Cores",IF(HostBuild[Use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7" s="59">
        <f>IFERROR(IF(FIND(DS$1,$W37)&gt;0,IF(INDEX([1]!Product_Pricing_Table[#Data],MATCH(DS$1,Products,0),2)="Cores",IF(HostBuild[Use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7" s="59">
        <f>IFERROR(IF(FIND(DT$1,$W37)&gt;0,IF(INDEX([1]!Product_Pricing_Table[#Data],MATCH(DT$1,Products,0),2)="Cores",IF(HostBuild[Use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7" s="59">
        <f>IFERROR(IF(FIND(DU$1,$W37)&gt;0,IF(INDEX([1]!Product_Pricing_Table[#Data],MATCH(DU$1,Products,0),2)="Cores",IF(HostBuild[Use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7" s="59">
        <f>IFERROR(IF(FIND(DV$1,$W37)&gt;0,IF(INDEX([1]!Product_Pricing_Table[#Data],MATCH(DV$1,Products,0),2)="Cores",IF(HostBuild[Use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7" s="59">
        <f>IFERROR(IF(FIND(DW$1,$W37)&gt;0,IF(INDEX([1]!Product_Pricing_Table[#Data],MATCH(DW$1,Products,0),2)="Cores",IF(HostBuild[Use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7" s="59">
        <f>IFERROR(IF(FIND(DX$1,$W37)&gt;0,IF(INDEX([1]!Product_Pricing_Table[#Data],MATCH(DX$1,Products,0),2)="Cores",IF(HostBuild[Use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7" s="59">
        <f>IFERROR(IF(FIND(DY$1,$W37)&gt;0,IF(INDEX([1]!Product_Pricing_Table[#Data],MATCH(DY$1,Products,0),2)="Cores",IF(HostBuild[Use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7" s="59">
        <f>IFERROR(IF(FIND(DZ$1,$W37)&gt;0,IF(INDEX([1]!Product_Pricing_Table[#Data],MATCH(DZ$1,Products,0),2)="Cores",IF(HostBuild[Use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7" s="59">
        <f>IFERROR(IF(FIND(EA$1,$W37)&gt;0,IF(INDEX([1]!Product_Pricing_Table[#Data],MATCH(EA$1,Products,0),2)="Cores",IF(HostBuild[Use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7" s="59">
        <f>IFERROR(IF(FIND(EB$1,$W37)&gt;0,IF(INDEX([1]!Product_Pricing_Table[#Data],MATCH(EB$1,Products,0),2)="Cores",IF(HostBuild[Use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7" s="60">
        <f>IFERROR(IF(FIND(EC$1,$W37)&gt;0,IF(INDEX([1]!Product_Pricing_Table[#Data],MATCH(EC$1,Products,0),2)="Cores",IF(HostBuild[Use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7" s="59">
        <f>IFERROR(IF(FIND(ED$1,$W37)&gt;0,IF(INDEX([1]!Product_Pricing_Table[#Data],MATCH(ED$1,Products,0),2)="Cores",IF(HostBuild[Use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7" s="59">
        <f>IFERROR(IF(FIND(EE$1,$W37)&gt;0,IF(INDEX([1]!Product_Pricing_Table[#Data],MATCH(EE$1,Products,0),2)="Cores",IF(HostBuild[Use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7" s="59">
        <f>IFERROR(IF(FIND(EF$1,$W37)&gt;0,IF(INDEX([1]!Product_Pricing_Table[#Data],MATCH(EF$1,Products,0),2)="Cores",IF(HostBuild[Use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7" s="59">
        <f>IFERROR(IF(FIND(EG$1,$W37)&gt;0,IF(INDEX([1]!Product_Pricing_Table[#Data],MATCH(EG$1,Products,0),2)="Cores",IF(HostBuild[Use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7" s="59">
        <f>IFERROR(IF(FIND(EH$1,$W37)&gt;0,IF(INDEX([1]!Product_Pricing_Table[#Data],MATCH(EH$1,Products,0),2)="Cores",IF(HostBuild[Use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7" s="59">
        <f>IFERROR(IF(FIND(EI$1,$W37)&gt;0,IF(INDEX([1]!Product_Pricing_Table[#Data],MATCH(EI$1,Products,0),2)="Cores",IF(HostBuild[Use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7" s="59">
        <f>IFERROR(IF(FIND(EJ$1,$W37)&gt;0,IF(INDEX([1]!Product_Pricing_Table[#Data],MATCH(EJ$1,Products,0),2)="Cores",IF(HostBuild[Use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7" s="60">
        <f>IFERROR(IF(FIND(EK$1,$W37)&gt;0,IF(INDEX([1]!Product_Pricing_Table[#Data],MATCH(EK$1,Products,0),2)="Cores",IF(HostBuild[Use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7" s="61"/>
      <c r="EM37" s="62"/>
      <c r="EN37" s="63"/>
      <c r="EO37"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3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7" s="132">
        <f>(HostBuild[Archive
Full (GB)]+HostBuild[Archive
Incr (GB)])*Storage_DC_Dist_Tape_2014</f>
        <v>0</v>
      </c>
      <c r="ER37" s="132">
        <f>IF(ISNUMBER(HostBuild[Server HW Costs
(Monthly)]),SUM(HostBuild[[#This Row],[Server HW Costs
(Monthly)]:[Tape Costs
(Monthly)]]),0)</f>
        <v>0</v>
      </c>
      <c r="ES37" s="65">
        <f>HostBuild[Software Costs
'[Year 1']
(Monthly)]+HostBuild[Total Hardware Costs
(Monthly)]</f>
        <v>0</v>
      </c>
      <c r="ET37" s="65">
        <f>IFERROR(IF(FIND("Safenet",HostBuild[Server Model]),Safenet_PSE_PL600_Maint,0),0)+IFERROR(IF(FIND("XI52",HostBuild[Server Model]),IBM_DIA_XI52_Maint,0),0)+HostBuild[Software Costs
'[After Year 1']
(Monthly)]+HostBuild[Total Hardware Costs
(Monthly)]</f>
        <v>0</v>
      </c>
      <c r="EU37" s="66">
        <f>SUM(HostBuild[[#This Row],[Server Cost Breakdown]:[Network Cost]])</f>
        <v>0</v>
      </c>
      <c r="EV37" s="67">
        <f>IF(HostBuild[Existing Server?]="Yes - Inside this BoM",0,SUMIF(HostBuild[Alias],HostBuild[Alias],HostBuild[CPU])+SUMIF(HostBuild[Alias],HostBuild[Alias],HostBuild[Existing CPUs]))</f>
        <v>0</v>
      </c>
      <c r="EW37" s="67">
        <f>IF(HostBuild[Existing Server?]="Yes - Inside this BoM",0,SUMIF(HostBuild[Alias],HostBuild[Alias],HostBuild[Cores 
(Licensed Units)])+SUMIF(HostBuild[Alias],HostBuild[Alias],HostBuild[Existing Cores]))</f>
        <v>0</v>
      </c>
      <c r="EX37" s="67">
        <f>IF(HostBuild[Existing Server?]="Yes - Inside this BoM",0,SUMIF(HostBuild[Alias],HostBuild[Alias],HostBuild[RAM 
(GB)])+SUMIF(HostBuild[Alias],HostBuild[Alias],HostBuild[Existing RAM (GB)]))</f>
        <v>0</v>
      </c>
      <c r="EY3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7" s="66">
        <f>IF(ISBLANK(HostBuild[Server Model]),0,IF(HostBuild[Server Tier]="VMware",0,VLOOKUP(HostBuild[Server Tier],[1]!ServerTierRates[#Data],2,0))*HostBuild[CPU]*IF(AND(HostBuild[Server Type]="pSeries",HostBuild[Virtual Platform Storage Type]="Cloud-SAN"),0.25,1))</f>
        <v>0</v>
      </c>
      <c r="FD37" s="66">
        <f>0</f>
        <v>0</v>
      </c>
      <c r="FE37" s="66">
        <f>IF(HostBuild[Server Type]="VMware",HostBuild[RAM 
(GB)]*IF(ISERROR(FIND("DevCloud", HostBuild[Server Model])&gt;0),vRAM_per_vCPU_2014_Monthly,vRAM_per_vCPU_2014_Daily*30),0)</f>
        <v>0</v>
      </c>
      <c r="FF3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7" s="69">
        <f>IF(HostBuild[Server Tier]="VMware",0,IF(LEFT(HostBuild[Existing Server?],3)="Yes",0,IF(OR(HostBuild[Server Type]="Sun",HostBuild[Server Type]="pSeries"),Support_Direct_Server_Sun_per_OS_2014,IF(HostBuild[Server Type]="x86",Support_Direct_Server_x86_Wintel_per_OS_2014,0))))</f>
        <v>0</v>
      </c>
      <c r="FI3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8" spans="1:165" hidden="1">
      <c r="A38" s="122" t="s">
        <v>53</v>
      </c>
      <c r="B38" s="36"/>
      <c r="C38" s="36"/>
      <c r="D38" s="36"/>
      <c r="E38" s="37"/>
      <c r="F38" s="37"/>
      <c r="G38" s="103"/>
      <c r="H38" s="103"/>
      <c r="I38" s="38"/>
      <c r="J38" s="37"/>
      <c r="K38" s="37"/>
      <c r="L38" s="37"/>
      <c r="M38" s="103" t="e">
        <f ca="1">IF(rngIsDate(HostBuild[CTO Acceptance]),"Y","N")</f>
        <v>#NAME?</v>
      </c>
      <c r="N38" s="123" t="s">
        <v>4</v>
      </c>
      <c r="O38" s="39"/>
      <c r="P38" s="39"/>
      <c r="Q38" s="123" t="s">
        <v>112</v>
      </c>
      <c r="R38" s="126" t="str">
        <f>IF(NOT(ISBLANK(HostBuild[Env Label])),IFERROR(VLOOKUP(HostBuild[Env Label],[1]!tEnv[#Data],3,FALSE),""),"")</f>
        <v/>
      </c>
      <c r="S38" s="104"/>
      <c r="T38" s="40"/>
      <c r="U38" s="105"/>
      <c r="V38" s="123" t="s">
        <v>115</v>
      </c>
      <c r="W38" s="123" t="s">
        <v>83</v>
      </c>
      <c r="X38" s="123" t="s">
        <v>57</v>
      </c>
      <c r="Y38" s="123" t="s">
        <v>58</v>
      </c>
      <c r="Z38" s="126" t="str">
        <f>IF(NOT(ISBLANK(HostBuild[[#This Row],[Product 
(Acronym)]])),CONCATENATE(HostBuild[[#This Row],[Type]],"-",HostBuild[[#This Row],[Product 
(Acronym)]]),"")</f>
        <v>AP-ESB</v>
      </c>
      <c r="AA38" s="106"/>
      <c r="AB38" s="106" t="s">
        <v>59</v>
      </c>
      <c r="AC38" s="41"/>
      <c r="AD38" s="42"/>
      <c r="AE38" s="42"/>
      <c r="AF38" s="43" t="s">
        <v>60</v>
      </c>
      <c r="AG38" s="124"/>
      <c r="AH38" s="107"/>
      <c r="AI38" s="124" t="s">
        <v>121</v>
      </c>
      <c r="AJ38" s="123">
        <f>IF(COUNTIF(HostBuild[Alias],HostBuild[Alias]),1/COUNTIF(HostBuild[Alias],HostBuild[Alias]),0)</f>
        <v>1</v>
      </c>
      <c r="AK38" s="124"/>
      <c r="AL38" s="124"/>
      <c r="AM38" s="44" t="s">
        <v>62</v>
      </c>
      <c r="AN38" s="45" t="str">
        <f>IF(NOT(ISBLANK(HostBuild[Server Model])),VLOOKUP(HostBuild[Server Model],[1]!ServerModelsTier[#Data],2,FALSE),"")</f>
        <v>x86 Tier 3</v>
      </c>
      <c r="AO38" s="45" t="str">
        <f>IF(NOT(ISBLANK(HostBuild[Server Model])),VLOOKUP(HostBuild[Server Model],[1]!ServerModelsTier[#Data],5,FALSE),"")</f>
        <v>x86</v>
      </c>
      <c r="AP38" s="44"/>
      <c r="AQ38" s="44" t="s">
        <v>63</v>
      </c>
      <c r="AR38" s="46"/>
      <c r="AS38" s="108"/>
      <c r="AT38" s="47"/>
      <c r="AU38" s="109" t="str">
        <f>IF(IFERROR(FIND("P-Series",HostBuild[Server Tier]),0),CEILING((HostBuild[Existing CPUs]+HostBuild[CPU])*16,8),"")</f>
        <v/>
      </c>
      <c r="AV38" s="48"/>
      <c r="AW38" s="124"/>
      <c r="AX38" s="124"/>
      <c r="AY38" s="124"/>
      <c r="AZ38" s="49"/>
      <c r="BA38" s="124"/>
      <c r="BB38" s="124"/>
      <c r="BC38" s="42"/>
      <c r="BD38" s="124"/>
      <c r="BE38" s="124"/>
      <c r="BF38" s="124"/>
      <c r="BG38" s="124"/>
      <c r="BH38" s="124"/>
      <c r="BI38" s="124"/>
      <c r="BJ38" s="124"/>
      <c r="BK38"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38" s="127"/>
      <c r="BM38" s="129">
        <f>IF(ISNUMBER(HostBuild[Recommended SAN (GB)]),HostBuild[Recommended SAN (GB)])+IF(HostBuild[Additional SAN (GB)]&gt;0,CEILING(HostBuild[Additional SAN (GB)],LUN),-(CEILING(-HostBuild[Additional SAN (GB)],LUN)))</f>
        <v>0</v>
      </c>
      <c r="BN38" s="128"/>
      <c r="BO38" s="129">
        <f>HostBuild[SAN (GB)
NEEDED TODAY]+CEILING(HostBuild[SAN (GB)
RESERVED
DO NOT USE TO BUILD], LUN)</f>
        <v>0</v>
      </c>
      <c r="BP38" s="130"/>
      <c r="BQ38" s="131"/>
      <c r="BR38" s="125" t="s">
        <v>76</v>
      </c>
      <c r="BS38" s="110">
        <f>IF(HostBuild[Existing Server?]&lt;&gt;"Yes - Inside this BoM",IF(ISNUMBER(HostBuild[RAM 
(GB)]),IF(HostBuild[Existing RAM (GB)]+HostBuild[RAM 
(GB)]&gt;0,IF(HostBuild[Virtual Platform Storage Type]="NAS",110+HostBuild[Existing RAM (GB)]+HostBuild[RAM 
(GB)]*1.75,0),0),0),0)</f>
        <v>0</v>
      </c>
      <c r="BT38" s="111"/>
      <c r="BU38" s="112">
        <f>IF(ISNUMBER(HostBuild[Recommended NAS (GB)]),HostBuild[Recommended NAS (GB)])+HostBuild[Additional NAS (GB)]</f>
        <v>0</v>
      </c>
      <c r="BV38" s="50"/>
      <c r="BW38" s="50"/>
      <c r="BX38" s="133">
        <f>IFERROR((HostBuild[SAN (GB)
End-State
DO NOT USE TO BUILD]+HostBuild[SAN (GB) Shared])*25%,"")</f>
        <v>0</v>
      </c>
      <c r="BY38" s="113">
        <f>IFERROR(HostBuild[Archive
Full (GB)]*15%,"")</f>
        <v>0</v>
      </c>
      <c r="BZ38" s="51"/>
      <c r="CA38" s="51"/>
      <c r="CB38" s="52"/>
      <c r="CC38" s="53"/>
      <c r="CD38" s="52"/>
      <c r="CE38" s="54"/>
      <c r="CF38" s="128"/>
      <c r="CG38" s="114"/>
      <c r="CH38" s="55"/>
      <c r="CI38" s="56"/>
      <c r="CJ38" s="57"/>
      <c r="CK38" s="58"/>
      <c r="CL38" s="59">
        <f>IFERROR(IF(FIND(CL$1,$W38)&gt;0,IF(INDEX([1]!Product_Pricing_Table[#Data],MATCH(CL$1,Products,0),2)="Cores",IF(HostBuild[Use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8" s="59">
        <f>IFERROR(IF(FIND(CM$1,$W38)&gt;0,IF(INDEX([1]!Product_Pricing_Table[#Data],MATCH(CM$1,Products,0),2)="Cores",IF(HostBuild[Use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8" s="59">
        <f>IFERROR(IF(FIND(CN$1,$W38)&gt;0,IF(INDEX([1]!Product_Pricing_Table[#Data],MATCH(CN$1,Products,0),2)="Cores",IF(HostBuild[Use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8" s="59">
        <f>IFERROR(IF(FIND(CO$1,$W38)&gt;0,IF(INDEX([1]!Product_Pricing_Table[#Data],MATCH(CO$1,Products,0),2)="Cores",IF(HostBuild[Use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8" s="59">
        <f>IFERROR(IF(FIND(CP$1,$W38)&gt;0,IF(INDEX([1]!Product_Pricing_Table[#Data],MATCH(CP$1,Products,0),2)="Cores",IF(HostBuild[Use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8" s="59">
        <f>IFERROR(IF(FIND(CQ$1,$W38)&gt;0,IF(INDEX([1]!Product_Pricing_Table[#Data],MATCH(CQ$1,Products,0),2)="Cores",IF(HostBuild[Use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8" s="59">
        <f>IFERROR(IF(FIND(CR$1,$W38)&gt;0,IF(INDEX([1]!Product_Pricing_Table[#Data],MATCH(CR$1,Products,0),2)="Cores",IF(HostBuild[Use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8" s="59">
        <f>IFERROR(IF(FIND(CS$1,$W38)&gt;0,IF(INDEX([1]!Product_Pricing_Table[#Data],MATCH(CS$1,Products,0),2)="Cores",IF(HostBuild[Use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8" s="59">
        <f>IFERROR(IF(FIND(CT$1,$W38)&gt;0,IF(INDEX([1]!Product_Pricing_Table[#Data],MATCH(CT$1,Products,0),2)="Cores",IF(HostBuild[Use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8" s="59">
        <f>IFERROR(IF(FIND(CU$1,$W38)&gt;0,IF(INDEX([1]!Product_Pricing_Table[#Data],MATCH(CU$1,Products,0),2)="Cores",IF(HostBuild[Use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8" s="59">
        <f>IFERROR(IF(FIND(CV$1,$W38)&gt;0,IF(INDEX([1]!Product_Pricing_Table[#Data],MATCH(CV$1,Products,0),2)="Cores",IF(HostBuild[Use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8" s="59">
        <f>IFERROR(IF(FIND(CW$1,$W38)&gt;0,IF(INDEX([1]!Product_Pricing_Table[#Data],MATCH(CW$1,Products,0),2)="Cores",IF(HostBuild[Use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8" s="59">
        <f>IFERROR(IF(FIND(CX$1,$W38)&gt;0,IF(INDEX([1]!Product_Pricing_Table[#Data],MATCH(CX$1,Products,0),2)="Cores",IF(HostBuild[Use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8" s="59">
        <f>IFERROR(IF(FIND(CY$1,$W38)&gt;0,IF(INDEX([1]!Product_Pricing_Table[#Data],MATCH(CY$1,Products,0),2)="Cores",IF(HostBuild[Use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8" s="59">
        <f>IFERROR(IF(FIND(CZ$1,$W38)&gt;0,IF(INDEX([1]!Product_Pricing_Table[#Data],MATCH(CZ$1,Products,0),2)="Cores",IF(HostBuild[Use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8" s="59">
        <f>IFERROR(IF(FIND(DA$1,$W38)&gt;0,IF(INDEX([1]!Product_Pricing_Table[#Data],MATCH(DA$1,Products,0),2)="Cores",IF(HostBuild[Use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8" s="59">
        <f>IFERROR(IF(FIND(DB$1,$W38)&gt;0,IF(INDEX([1]!Product_Pricing_Table[#Data],MATCH(DB$1,Products,0),2)="Cores",IF(HostBuild[Use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8" s="59">
        <f>IFERROR(IF(FIND(DC$1,$W38)&gt;0,IF(INDEX([1]!Product_Pricing_Table[#Data],MATCH(DC$1,Products,0),2)="Cores",IF(HostBuild[Use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8" s="59">
        <f>IFERROR(IF(FIND(DD$1,$W38)&gt;0,IF(INDEX([1]!Product_Pricing_Table[#Data],MATCH(DD$1,Products,0),2)="Cores",IF(HostBuild[Use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8" s="59">
        <f>IFERROR(IF(FIND(DE$1,$W38)&gt;0,IF(INDEX([1]!Product_Pricing_Table[#Data],MATCH(DE$1,Products,0),2)="Cores",IF(HostBuild[Use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8" s="60">
        <f>IFERROR(IF(FIND(DF$1,$W38)&gt;0,IF(INDEX([1]!Product_Pricing_Table[#Data],MATCH(DF$1,Products,0),2)="Cores",IF(HostBuild[Use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8" s="60">
        <f>IFERROR(IF(FIND(DG$1,$W38)&gt;0,IF(INDEX([1]!Product_Pricing_Table[#Data],MATCH(DG$1,Products,0),2)="Cores",IF(HostBuild[Use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8" s="59">
        <f>IFERROR(IF(FIND(DH$1,$W38)&gt;0,IF(INDEX([1]!Product_Pricing_Table[#Data],MATCH(DH$1,Products,0),2)="Cores",IF(HostBuild[Use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8" s="60">
        <f>IFERROR(IF(FIND(DI$1,$W38)&gt;0,IF(INDEX([1]!Product_Pricing_Table[#Data],MATCH(DI$1,Products,0),2)="Cores",IF(HostBuild[Use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8" s="59">
        <f>IFERROR(IF(FIND(DJ$1,$W38)&gt;0,IF(INDEX([1]!Product_Pricing_Table[#Data],MATCH(DJ$1,Products,0),2)="Cores",IF(HostBuild[Use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8" s="59">
        <f>IFERROR(IF(FIND(DK$1,$W38)&gt;0,IF(INDEX([1]!Product_Pricing_Table[#Data],MATCH(DK$1,Products,0),2)="Cores",IF(HostBuild[Use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8" s="59">
        <f>IFERROR(IF(FIND(DL$1,$W38)&gt;0,IF(INDEX([1]!Product_Pricing_Table[#Data],MATCH(DL$1,Products,0),2)="Cores",IF(HostBuild[Use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8" s="59">
        <f>IFERROR(IF(FIND(DM$1,$W38)&gt;0,IF(INDEX([1]!Product_Pricing_Table[#Data],MATCH(DM$1,Products,0),2)="Cores",IF(HostBuild[Use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8" s="59">
        <f>IFERROR(IF(FIND(DN$1,$W38)&gt;0,IF(INDEX([1]!Product_Pricing_Table[#Data],MATCH(DN$1,Products,0),2)="Cores",IF(HostBuild[Use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8" s="59">
        <f>IFERROR(IF(FIND(DO$1,$W38)&gt;0,IF(INDEX([1]!Product_Pricing_Table[#Data],MATCH(DO$1,Products,0),2)="Cores",IF(HostBuild[Use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8" s="59">
        <f>IFERROR(IF(FIND(DP$1,$W38)&gt;0,IF(INDEX([1]!Product_Pricing_Table[#Data],MATCH(DP$1,Products,0),2)="Cores",IF(HostBuild[Use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8" s="59">
        <f>IFERROR(IF(FIND(DQ$1,$W38)&gt;0,IF(INDEX([1]!Product_Pricing_Table[#Data],MATCH(DQ$1,Products,0),2)="Cores",IF(HostBuild[Use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8" s="59">
        <f>IFERROR(IF(FIND(DR$1,$W38)&gt;0,IF(INDEX([1]!Product_Pricing_Table[#Data],MATCH(DR$1,Products,0),2)="Cores",IF(HostBuild[Use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8" s="59">
        <f>IFERROR(IF(FIND(DS$1,$W38)&gt;0,IF(INDEX([1]!Product_Pricing_Table[#Data],MATCH(DS$1,Products,0),2)="Cores",IF(HostBuild[Use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8" s="59">
        <f>IFERROR(IF(FIND(DT$1,$W38)&gt;0,IF(INDEX([1]!Product_Pricing_Table[#Data],MATCH(DT$1,Products,0),2)="Cores",IF(HostBuild[Use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8" s="59">
        <f>IFERROR(IF(FIND(DU$1,$W38)&gt;0,IF(INDEX([1]!Product_Pricing_Table[#Data],MATCH(DU$1,Products,0),2)="Cores",IF(HostBuild[Use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8" s="59">
        <f>IFERROR(IF(FIND(DV$1,$W38)&gt;0,IF(INDEX([1]!Product_Pricing_Table[#Data],MATCH(DV$1,Products,0),2)="Cores",IF(HostBuild[Use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8" s="59">
        <f>IFERROR(IF(FIND(DW$1,$W38)&gt;0,IF(INDEX([1]!Product_Pricing_Table[#Data],MATCH(DW$1,Products,0),2)="Cores",IF(HostBuild[Use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8" s="59">
        <f>IFERROR(IF(FIND(DX$1,$W38)&gt;0,IF(INDEX([1]!Product_Pricing_Table[#Data],MATCH(DX$1,Products,0),2)="Cores",IF(HostBuild[Use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8" s="59">
        <f>IFERROR(IF(FIND(DY$1,$W38)&gt;0,IF(INDEX([1]!Product_Pricing_Table[#Data],MATCH(DY$1,Products,0),2)="Cores",IF(HostBuild[Use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8" s="59">
        <f>IFERROR(IF(FIND(DZ$1,$W38)&gt;0,IF(INDEX([1]!Product_Pricing_Table[#Data],MATCH(DZ$1,Products,0),2)="Cores",IF(HostBuild[Use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8" s="59">
        <f>IFERROR(IF(FIND(EA$1,$W38)&gt;0,IF(INDEX([1]!Product_Pricing_Table[#Data],MATCH(EA$1,Products,0),2)="Cores",IF(HostBuild[Use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8" s="59">
        <f>IFERROR(IF(FIND(EB$1,$W38)&gt;0,IF(INDEX([1]!Product_Pricing_Table[#Data],MATCH(EB$1,Products,0),2)="Cores",IF(HostBuild[Use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8" s="60">
        <f>IFERROR(IF(FIND(EC$1,$W38)&gt;0,IF(INDEX([1]!Product_Pricing_Table[#Data],MATCH(EC$1,Products,0),2)="Cores",IF(HostBuild[Use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8" s="59">
        <f>IFERROR(IF(FIND(ED$1,$W38)&gt;0,IF(INDEX([1]!Product_Pricing_Table[#Data],MATCH(ED$1,Products,0),2)="Cores",IF(HostBuild[Use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8" s="59">
        <f>IFERROR(IF(FIND(EE$1,$W38)&gt;0,IF(INDEX([1]!Product_Pricing_Table[#Data],MATCH(EE$1,Products,0),2)="Cores",IF(HostBuild[Use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8" s="59">
        <f>IFERROR(IF(FIND(EF$1,$W38)&gt;0,IF(INDEX([1]!Product_Pricing_Table[#Data],MATCH(EF$1,Products,0),2)="Cores",IF(HostBuild[Use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8" s="59">
        <f>IFERROR(IF(FIND(EG$1,$W38)&gt;0,IF(INDEX([1]!Product_Pricing_Table[#Data],MATCH(EG$1,Products,0),2)="Cores",IF(HostBuild[Use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8" s="59">
        <f>IFERROR(IF(FIND(EH$1,$W38)&gt;0,IF(INDEX([1]!Product_Pricing_Table[#Data],MATCH(EH$1,Products,0),2)="Cores",IF(HostBuild[Use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8" s="59">
        <f>IFERROR(IF(FIND(EI$1,$W38)&gt;0,IF(INDEX([1]!Product_Pricing_Table[#Data],MATCH(EI$1,Products,0),2)="Cores",IF(HostBuild[Use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8" s="59">
        <f>IFERROR(IF(FIND(EJ$1,$W38)&gt;0,IF(INDEX([1]!Product_Pricing_Table[#Data],MATCH(EJ$1,Products,0),2)="Cores",IF(HostBuild[Use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8" s="60">
        <f>IFERROR(IF(FIND(EK$1,$W38)&gt;0,IF(INDEX([1]!Product_Pricing_Table[#Data],MATCH(EK$1,Products,0),2)="Cores",IF(HostBuild[Use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8" s="61"/>
      <c r="EM38" s="62"/>
      <c r="EN38" s="63"/>
      <c r="EO38"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3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8" s="132">
        <f>(HostBuild[Archive
Full (GB)]+HostBuild[Archive
Incr (GB)])*Storage_DC_Dist_Tape_2014</f>
        <v>0</v>
      </c>
      <c r="ER38" s="132">
        <f>IF(ISNUMBER(HostBuild[Server HW Costs
(Monthly)]),SUM(HostBuild[[#This Row],[Server HW Costs
(Monthly)]:[Tape Costs
(Monthly)]]),0)</f>
        <v>0</v>
      </c>
      <c r="ES38" s="65">
        <f>HostBuild[Software Costs
'[Year 1']
(Monthly)]+HostBuild[Total Hardware Costs
(Monthly)]</f>
        <v>0</v>
      </c>
      <c r="ET38" s="65">
        <f>IFERROR(IF(FIND("Safenet",HostBuild[Server Model]),Safenet_PSE_PL600_Maint,0),0)+IFERROR(IF(FIND("XI52",HostBuild[Server Model]),IBM_DIA_XI52_Maint,0),0)+HostBuild[Software Costs
'[After Year 1']
(Monthly)]+HostBuild[Total Hardware Costs
(Monthly)]</f>
        <v>0</v>
      </c>
      <c r="EU38" s="66">
        <f>SUM(HostBuild[[#This Row],[Server Cost Breakdown]:[Network Cost]])</f>
        <v>0</v>
      </c>
      <c r="EV38" s="67">
        <f>IF(HostBuild[Existing Server?]="Yes - Inside this BoM",0,SUMIF(HostBuild[Alias],HostBuild[Alias],HostBuild[CPU])+SUMIF(HostBuild[Alias],HostBuild[Alias],HostBuild[Existing CPUs]))</f>
        <v>0</v>
      </c>
      <c r="EW38" s="67">
        <f>IF(HostBuild[Existing Server?]="Yes - Inside this BoM",0,SUMIF(HostBuild[Alias],HostBuild[Alias],HostBuild[Cores 
(Licensed Units)])+SUMIF(HostBuild[Alias],HostBuild[Alias],HostBuild[Existing Cores]))</f>
        <v>0</v>
      </c>
      <c r="EX38" s="67">
        <f>IF(HostBuild[Existing Server?]="Yes - Inside this BoM",0,SUMIF(HostBuild[Alias],HostBuild[Alias],HostBuild[RAM 
(GB)])+SUMIF(HostBuild[Alias],HostBuild[Alias],HostBuild[Existing RAM (GB)]))</f>
        <v>0</v>
      </c>
      <c r="EY3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8" s="66">
        <f>IF(ISBLANK(HostBuild[Server Model]),0,IF(HostBuild[Server Tier]="VMware",0,VLOOKUP(HostBuild[Server Tier],[1]!ServerTierRates[#Data],2,0))*HostBuild[CPU]*IF(AND(HostBuild[Server Type]="pSeries",HostBuild[Virtual Platform Storage Type]="Cloud-SAN"),0.25,1))</f>
        <v>0</v>
      </c>
      <c r="FD38" s="66">
        <f>0</f>
        <v>0</v>
      </c>
      <c r="FE38" s="66">
        <f>IF(HostBuild[Server Type]="VMware",HostBuild[RAM 
(GB)]*IF(ISERROR(FIND("DevCloud", HostBuild[Server Model])&gt;0),vRAM_per_vCPU_2014_Monthly,vRAM_per_vCPU_2014_Daily*30),0)</f>
        <v>0</v>
      </c>
      <c r="FF3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8" s="69">
        <f>IF(HostBuild[Server Tier]="VMware",0,IF(LEFT(HostBuild[Existing Server?],3)="Yes",0,IF(OR(HostBuild[Server Type]="Sun",HostBuild[Server Type]="pSeries"),Support_Direct_Server_Sun_per_OS_2014,IF(HostBuild[Server Type]="x86",Support_Direct_Server_x86_Wintel_per_OS_2014,0))))</f>
        <v>0</v>
      </c>
      <c r="FI3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39" spans="1:165" hidden="1">
      <c r="A39" s="122" t="s">
        <v>53</v>
      </c>
      <c r="B39" s="36"/>
      <c r="C39" s="36"/>
      <c r="D39" s="36"/>
      <c r="E39" s="37"/>
      <c r="F39" s="37"/>
      <c r="G39" s="103"/>
      <c r="H39" s="103"/>
      <c r="I39" s="38"/>
      <c r="J39" s="37"/>
      <c r="K39" s="37"/>
      <c r="L39" s="37"/>
      <c r="M39" s="103" t="e">
        <f ca="1">IF(rngIsDate(HostBuild[CTO Acceptance]),"Y","N")</f>
        <v>#NAME?</v>
      </c>
      <c r="N39" s="123" t="s">
        <v>3</v>
      </c>
      <c r="O39" s="39"/>
      <c r="P39" s="39"/>
      <c r="Q39" s="123" t="s">
        <v>52</v>
      </c>
      <c r="R39" s="126" t="str">
        <f>IF(NOT(ISBLANK(HostBuild[Env Label])),IFERROR(VLOOKUP(HostBuild[Env Label],[1]!tEnv[#Data],3,FALSE),""),"")</f>
        <v/>
      </c>
      <c r="S39" s="104"/>
      <c r="T39" s="40"/>
      <c r="U39" s="105"/>
      <c r="V39" s="123" t="s">
        <v>55</v>
      </c>
      <c r="W39" s="123" t="s">
        <v>56</v>
      </c>
      <c r="X39" s="123" t="s">
        <v>57</v>
      </c>
      <c r="Y39" s="123" t="s">
        <v>58</v>
      </c>
      <c r="Z39" s="126" t="str">
        <f>IF(NOT(ISBLANK(HostBuild[[#This Row],[Product 
(Acronym)]])),CONCATENATE(HostBuild[[#This Row],[Type]],"-",HostBuild[[#This Row],[Product 
(Acronym)]]),"")</f>
        <v>AP-ESB</v>
      </c>
      <c r="AA39" s="106"/>
      <c r="AB39" s="106" t="s">
        <v>59</v>
      </c>
      <c r="AC39" s="41"/>
      <c r="AD39" s="42"/>
      <c r="AE39" s="42"/>
      <c r="AF39" s="43" t="s">
        <v>60</v>
      </c>
      <c r="AG39" s="124"/>
      <c r="AH39" s="107"/>
      <c r="AI39" s="124" t="s">
        <v>122</v>
      </c>
      <c r="AJ39" s="115">
        <f>IF(COUNTIF(HostBuild[Alias],HostBuild[Alias]),1/COUNTIF(HostBuild[Alias],HostBuild[Alias]),0)</f>
        <v>1</v>
      </c>
      <c r="AK39" s="124"/>
      <c r="AL39" s="124"/>
      <c r="AM39" s="44" t="s">
        <v>62</v>
      </c>
      <c r="AN39" s="45" t="str">
        <f>IF(NOT(ISBLANK(HostBuild[Server Model])),VLOOKUP(HostBuild[Server Model],[1]!ServerModelsTier[#Data],2,FALSE),"")</f>
        <v>x86 Tier 3</v>
      </c>
      <c r="AO39" s="45" t="str">
        <f>IF(NOT(ISBLANK(HostBuild[Server Model])),VLOOKUP(HostBuild[Server Model],[1]!ServerModelsTier[#Data],5,FALSE),"")</f>
        <v>x86</v>
      </c>
      <c r="AP39" s="44"/>
      <c r="AQ39" s="44" t="s">
        <v>63</v>
      </c>
      <c r="AR39" s="46"/>
      <c r="AS39" s="108"/>
      <c r="AT39" s="47"/>
      <c r="AU39" s="109" t="str">
        <f>IF(IFERROR(FIND("P-Series",HostBuild[Server Tier]),0),CEILING((HostBuild[Existing CPUs]+HostBuild[CPU])*16,8),"")</f>
        <v/>
      </c>
      <c r="AV39" s="48"/>
      <c r="AW39" s="124"/>
      <c r="AX39" s="124"/>
      <c r="AY39" s="124"/>
      <c r="AZ39" s="49"/>
      <c r="BA39" s="124"/>
      <c r="BB39" s="124"/>
      <c r="BC39" s="42"/>
      <c r="BD39" s="124"/>
      <c r="BE39" s="124"/>
      <c r="BF39" s="124"/>
      <c r="BG39" s="124"/>
      <c r="BH39" s="124"/>
      <c r="BI39" s="124"/>
      <c r="BJ39" s="124"/>
      <c r="BK39"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39" s="127"/>
      <c r="BM39" s="129">
        <f>IF(ISNUMBER(HostBuild[Recommended SAN (GB)]),HostBuild[Recommended SAN (GB)])+IF(HostBuild[Additional SAN (GB)]&gt;0,CEILING(HostBuild[Additional SAN (GB)],LUN),-(CEILING(-HostBuild[Additional SAN (GB)],LUN)))</f>
        <v>0</v>
      </c>
      <c r="BN39" s="128"/>
      <c r="BO39" s="129">
        <f>HostBuild[SAN (GB)
NEEDED TODAY]+CEILING(HostBuild[SAN (GB)
RESERVED
DO NOT USE TO BUILD], LUN)</f>
        <v>0</v>
      </c>
      <c r="BP39" s="130"/>
      <c r="BQ39" s="131"/>
      <c r="BR39" s="125" t="s">
        <v>64</v>
      </c>
      <c r="BS39" s="110">
        <f>IF(HostBuild[Existing Server?]&lt;&gt;"Yes - Inside this BoM",IF(ISNUMBER(HostBuild[RAM 
(GB)]),IF(HostBuild[Existing RAM (GB)]+HostBuild[RAM 
(GB)]&gt;0,IF(HostBuild[Virtual Platform Storage Type]="NAS",110+HostBuild[Existing RAM (GB)]+HostBuild[RAM 
(GB)]*1.75,0),0),0),0)</f>
        <v>0</v>
      </c>
      <c r="BT39" s="111"/>
      <c r="BU39" s="112">
        <f>IF(ISNUMBER(HostBuild[Recommended NAS (GB)]),HostBuild[Recommended NAS (GB)])+HostBuild[Additional NAS (GB)]</f>
        <v>0</v>
      </c>
      <c r="BV39" s="50"/>
      <c r="BW39" s="50"/>
      <c r="BX39" s="133">
        <f>IFERROR((HostBuild[SAN (GB)
End-State
DO NOT USE TO BUILD]+HostBuild[SAN (GB) Shared])*25%,"")</f>
        <v>0</v>
      </c>
      <c r="BY39" s="113">
        <f>IFERROR(HostBuild[Archive
Full (GB)]*15%,"")</f>
        <v>0</v>
      </c>
      <c r="BZ39" s="51"/>
      <c r="CA39" s="51"/>
      <c r="CB39" s="52"/>
      <c r="CC39" s="53"/>
      <c r="CD39" s="52"/>
      <c r="CE39" s="54"/>
      <c r="CF39" s="128"/>
      <c r="CG39" s="114"/>
      <c r="CH39" s="55"/>
      <c r="CI39" s="56"/>
      <c r="CJ39" s="57" t="s">
        <v>65</v>
      </c>
      <c r="CK39" s="58"/>
      <c r="CL39" s="59">
        <f>IFERROR(IF(FIND(CL$1,$W39)&gt;0,IF(INDEX([1]!Product_Pricing_Table[#Data],MATCH(CL$1,Products,0),2)="Cores",IF(HostBuild[Use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39" s="59">
        <f>IFERROR(IF(FIND(CM$1,$W39)&gt;0,IF(INDEX([1]!Product_Pricing_Table[#Data],MATCH(CM$1,Products,0),2)="Cores",IF(HostBuild[Use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39" s="59">
        <f>IFERROR(IF(FIND(CN$1,$W39)&gt;0,IF(INDEX([1]!Product_Pricing_Table[#Data],MATCH(CN$1,Products,0),2)="Cores",IF(HostBuild[Use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39" s="59">
        <f>IFERROR(IF(FIND(CO$1,$W39)&gt;0,IF(INDEX([1]!Product_Pricing_Table[#Data],MATCH(CO$1,Products,0),2)="Cores",IF(HostBuild[Use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39" s="59">
        <f>IFERROR(IF(FIND(CP$1,$W39)&gt;0,IF(INDEX([1]!Product_Pricing_Table[#Data],MATCH(CP$1,Products,0),2)="Cores",IF(HostBuild[Use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39" s="59">
        <f>IFERROR(IF(FIND(CQ$1,$W39)&gt;0,IF(INDEX([1]!Product_Pricing_Table[#Data],MATCH(CQ$1,Products,0),2)="Cores",IF(HostBuild[Use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39" s="59">
        <f>IFERROR(IF(FIND(CR$1,$W39)&gt;0,IF(INDEX([1]!Product_Pricing_Table[#Data],MATCH(CR$1,Products,0),2)="Cores",IF(HostBuild[Use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39" s="59">
        <f>IFERROR(IF(FIND(CS$1,$W39)&gt;0,IF(INDEX([1]!Product_Pricing_Table[#Data],MATCH(CS$1,Products,0),2)="Cores",IF(HostBuild[Use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39" s="59">
        <f>IFERROR(IF(FIND(CT$1,$W39)&gt;0,IF(INDEX([1]!Product_Pricing_Table[#Data],MATCH(CT$1,Products,0),2)="Cores",IF(HostBuild[Use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39" s="59">
        <f>IFERROR(IF(FIND(CU$1,$W39)&gt;0,IF(INDEX([1]!Product_Pricing_Table[#Data],MATCH(CU$1,Products,0),2)="Cores",IF(HostBuild[Use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39" s="59">
        <f>IFERROR(IF(FIND(CV$1,$W39)&gt;0,IF(INDEX([1]!Product_Pricing_Table[#Data],MATCH(CV$1,Products,0),2)="Cores",IF(HostBuild[Use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39" s="59">
        <f>IFERROR(IF(FIND(CW$1,$W39)&gt;0,IF(INDEX([1]!Product_Pricing_Table[#Data],MATCH(CW$1,Products,0),2)="Cores",IF(HostBuild[Use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39" s="59">
        <f>IFERROR(IF(FIND(CX$1,$W39)&gt;0,IF(INDEX([1]!Product_Pricing_Table[#Data],MATCH(CX$1,Products,0),2)="Cores",IF(HostBuild[Use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39" s="59">
        <f>IFERROR(IF(FIND(CY$1,$W39)&gt;0,IF(INDEX([1]!Product_Pricing_Table[#Data],MATCH(CY$1,Products,0),2)="Cores",IF(HostBuild[Use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39" s="59">
        <f>IFERROR(IF(FIND(CZ$1,$W39)&gt;0,IF(INDEX([1]!Product_Pricing_Table[#Data],MATCH(CZ$1,Products,0),2)="Cores",IF(HostBuild[Use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39" s="59">
        <f>IFERROR(IF(FIND(DA$1,$W39)&gt;0,IF(INDEX([1]!Product_Pricing_Table[#Data],MATCH(DA$1,Products,0),2)="Cores",IF(HostBuild[Use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39" s="59">
        <f>IFERROR(IF(FIND(DB$1,$W39)&gt;0,IF(INDEX([1]!Product_Pricing_Table[#Data],MATCH(DB$1,Products,0),2)="Cores",IF(HostBuild[Use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39" s="59">
        <f>IFERROR(IF(FIND(DC$1,$W39)&gt;0,IF(INDEX([1]!Product_Pricing_Table[#Data],MATCH(DC$1,Products,0),2)="Cores",IF(HostBuild[Use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39" s="59">
        <f>IFERROR(IF(FIND(DD$1,$W39)&gt;0,IF(INDEX([1]!Product_Pricing_Table[#Data],MATCH(DD$1,Products,0),2)="Cores",IF(HostBuild[Use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39" s="59">
        <f>IFERROR(IF(FIND(DE$1,$W39)&gt;0,IF(INDEX([1]!Product_Pricing_Table[#Data],MATCH(DE$1,Products,0),2)="Cores",IF(HostBuild[Use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39" s="60">
        <f>IFERROR(IF(FIND(DF$1,$W39)&gt;0,IF(INDEX([1]!Product_Pricing_Table[#Data],MATCH(DF$1,Products,0),2)="Cores",IF(HostBuild[Use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39" s="60">
        <f>IFERROR(IF(FIND(DG$1,$W39)&gt;0,IF(INDEX([1]!Product_Pricing_Table[#Data],MATCH(DG$1,Products,0),2)="Cores",IF(HostBuild[Use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39" s="59">
        <f>IFERROR(IF(FIND(DH$1,$W39)&gt;0,IF(INDEX([1]!Product_Pricing_Table[#Data],MATCH(DH$1,Products,0),2)="Cores",IF(HostBuild[Use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39" s="60">
        <f>IFERROR(IF(FIND(DI$1,$W39)&gt;0,IF(INDEX([1]!Product_Pricing_Table[#Data],MATCH(DI$1,Products,0),2)="Cores",IF(HostBuild[Use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39" s="59">
        <f>IFERROR(IF(FIND(DJ$1,$W39)&gt;0,IF(INDEX([1]!Product_Pricing_Table[#Data],MATCH(DJ$1,Products,0),2)="Cores",IF(HostBuild[Use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39" s="59">
        <f>IFERROR(IF(FIND(DK$1,$W39)&gt;0,IF(INDEX([1]!Product_Pricing_Table[#Data],MATCH(DK$1,Products,0),2)="Cores",IF(HostBuild[Use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39" s="59">
        <f>IFERROR(IF(FIND(DL$1,$W39)&gt;0,IF(INDEX([1]!Product_Pricing_Table[#Data],MATCH(DL$1,Products,0),2)="Cores",IF(HostBuild[Use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39" s="59">
        <f>IFERROR(IF(FIND(DM$1,$W39)&gt;0,IF(INDEX([1]!Product_Pricing_Table[#Data],MATCH(DM$1,Products,0),2)="Cores",IF(HostBuild[Use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39" s="59">
        <f>IFERROR(IF(FIND(DN$1,$W39)&gt;0,IF(INDEX([1]!Product_Pricing_Table[#Data],MATCH(DN$1,Products,0),2)="Cores",IF(HostBuild[Use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39" s="59">
        <f>IFERROR(IF(FIND(DO$1,$W39)&gt;0,IF(INDEX([1]!Product_Pricing_Table[#Data],MATCH(DO$1,Products,0),2)="Cores",IF(HostBuild[Use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39" s="59">
        <f>IFERROR(IF(FIND(DP$1,$W39)&gt;0,IF(INDEX([1]!Product_Pricing_Table[#Data],MATCH(DP$1,Products,0),2)="Cores",IF(HostBuild[Use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39" s="59">
        <f>IFERROR(IF(FIND(DQ$1,$W39)&gt;0,IF(INDEX([1]!Product_Pricing_Table[#Data],MATCH(DQ$1,Products,0),2)="Cores",IF(HostBuild[Use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39" s="59">
        <f>IFERROR(IF(FIND(DR$1,$W39)&gt;0,IF(INDEX([1]!Product_Pricing_Table[#Data],MATCH(DR$1,Products,0),2)="Cores",IF(HostBuild[Use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39" s="59">
        <f>IFERROR(IF(FIND(DS$1,$W39)&gt;0,IF(INDEX([1]!Product_Pricing_Table[#Data],MATCH(DS$1,Products,0),2)="Cores",IF(HostBuild[Use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39" s="59">
        <f>IFERROR(IF(FIND(DT$1,$W39)&gt;0,IF(INDEX([1]!Product_Pricing_Table[#Data],MATCH(DT$1,Products,0),2)="Cores",IF(HostBuild[Use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39" s="59">
        <f>IFERROR(IF(FIND(DU$1,$W39)&gt;0,IF(INDEX([1]!Product_Pricing_Table[#Data],MATCH(DU$1,Products,0),2)="Cores",IF(HostBuild[Use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39" s="59">
        <f>IFERROR(IF(FIND(DV$1,$W39)&gt;0,IF(INDEX([1]!Product_Pricing_Table[#Data],MATCH(DV$1,Products,0),2)="Cores",IF(HostBuild[Use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39" s="59">
        <f>IFERROR(IF(FIND(DW$1,$W39)&gt;0,IF(INDEX([1]!Product_Pricing_Table[#Data],MATCH(DW$1,Products,0),2)="Cores",IF(HostBuild[Use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39" s="59">
        <f>IFERROR(IF(FIND(DX$1,$W39)&gt;0,IF(INDEX([1]!Product_Pricing_Table[#Data],MATCH(DX$1,Products,0),2)="Cores",IF(HostBuild[Use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39" s="59">
        <f>IFERROR(IF(FIND(DY$1,$W39)&gt;0,IF(INDEX([1]!Product_Pricing_Table[#Data],MATCH(DY$1,Products,0),2)="Cores",IF(HostBuild[Use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39" s="59">
        <f>IFERROR(IF(FIND(DZ$1,$W39)&gt;0,IF(INDEX([1]!Product_Pricing_Table[#Data],MATCH(DZ$1,Products,0),2)="Cores",IF(HostBuild[Use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39" s="59">
        <f>IFERROR(IF(FIND(EA$1,$W39)&gt;0,IF(INDEX([1]!Product_Pricing_Table[#Data],MATCH(EA$1,Products,0),2)="Cores",IF(HostBuild[Use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39" s="59">
        <f>IFERROR(IF(FIND(EB$1,$W39)&gt;0,IF(INDEX([1]!Product_Pricing_Table[#Data],MATCH(EB$1,Products,0),2)="Cores",IF(HostBuild[Use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39" s="60">
        <f>IFERROR(IF(FIND(EC$1,$W39)&gt;0,IF(INDEX([1]!Product_Pricing_Table[#Data],MATCH(EC$1,Products,0),2)="Cores",IF(HostBuild[Use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39" s="59">
        <f>IFERROR(IF(FIND(ED$1,$W39)&gt;0,IF(INDEX([1]!Product_Pricing_Table[#Data],MATCH(ED$1,Products,0),2)="Cores",IF(HostBuild[Use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39" s="59">
        <f>IFERROR(IF(FIND(EE$1,$W39)&gt;0,IF(INDEX([1]!Product_Pricing_Table[#Data],MATCH(EE$1,Products,0),2)="Cores",IF(HostBuild[Use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39" s="59">
        <f>IFERROR(IF(FIND(EF$1,$W39)&gt;0,IF(INDEX([1]!Product_Pricing_Table[#Data],MATCH(EF$1,Products,0),2)="Cores",IF(HostBuild[Use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39" s="59">
        <f>IFERROR(IF(FIND(EG$1,$W39)&gt;0,IF(INDEX([1]!Product_Pricing_Table[#Data],MATCH(EG$1,Products,0),2)="Cores",IF(HostBuild[Use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39" s="59">
        <f>IFERROR(IF(FIND(EH$1,$W39)&gt;0,IF(INDEX([1]!Product_Pricing_Table[#Data],MATCH(EH$1,Products,0),2)="Cores",IF(HostBuild[Use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39" s="59">
        <f>IFERROR(IF(FIND(EI$1,$W39)&gt;0,IF(INDEX([1]!Product_Pricing_Table[#Data],MATCH(EI$1,Products,0),2)="Cores",IF(HostBuild[Use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39" s="59">
        <f>IFERROR(IF(FIND(EJ$1,$W39)&gt;0,IF(INDEX([1]!Product_Pricing_Table[#Data],MATCH(EJ$1,Products,0),2)="Cores",IF(HostBuild[Use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39" s="60">
        <f>IFERROR(IF(FIND(EK$1,$W39)&gt;0,IF(INDEX([1]!Product_Pricing_Table[#Data],MATCH(EK$1,Products,0),2)="Cores",IF(HostBuild[Use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39" s="61"/>
      <c r="EM39" s="62">
        <v>0</v>
      </c>
      <c r="EN39" s="63">
        <v>0</v>
      </c>
      <c r="EO39"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3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39" s="132">
        <f>(HostBuild[Archive
Full (GB)]+HostBuild[Archive
Incr (GB)])*Storage_DC_Dist_Tape_2014</f>
        <v>0</v>
      </c>
      <c r="ER39" s="132">
        <f>IF(ISNUMBER(HostBuild[Server HW Costs
(Monthly)]),SUM(HostBuild[[#This Row],[Server HW Costs
(Monthly)]:[Tape Costs
(Monthly)]]),0)</f>
        <v>0</v>
      </c>
      <c r="ES39" s="65">
        <f>HostBuild[Software Costs
'[Year 1']
(Monthly)]+HostBuild[Total Hardware Costs
(Monthly)]</f>
        <v>0</v>
      </c>
      <c r="ET39" s="65">
        <f>IFERROR(IF(FIND("Safenet",HostBuild[Server Model]),Safenet_PSE_PL600_Maint,0),0)+IFERROR(IF(FIND("XI52",HostBuild[Server Model]),IBM_DIA_XI52_Maint,0),0)+HostBuild[Software Costs
'[After Year 1']
(Monthly)]+HostBuild[Total Hardware Costs
(Monthly)]</f>
        <v>0</v>
      </c>
      <c r="EU39" s="66">
        <f>SUM(HostBuild[[#This Row],[Server Cost Breakdown]:[Network Cost]])</f>
        <v>0</v>
      </c>
      <c r="EV39" s="67">
        <f>IF(HostBuild[Existing Server?]="Yes - Inside this BoM",0,SUMIF(HostBuild[Alias],HostBuild[Alias],HostBuild[CPU])+SUMIF(HostBuild[Alias],HostBuild[Alias],HostBuild[Existing CPUs]))</f>
        <v>0</v>
      </c>
      <c r="EW39" s="67">
        <f>IF(HostBuild[Existing Server?]="Yes - Inside this BoM",0,SUMIF(HostBuild[Alias],HostBuild[Alias],HostBuild[Cores 
(Licensed Units)])+SUMIF(HostBuild[Alias],HostBuild[Alias],HostBuild[Existing Cores]))</f>
        <v>0</v>
      </c>
      <c r="EX39" s="67">
        <f>IF(HostBuild[Existing Server?]="Yes - Inside this BoM",0,SUMIF(HostBuild[Alias],HostBuild[Alias],HostBuild[RAM 
(GB)])+SUMIF(HostBuild[Alias],HostBuild[Alias],HostBuild[Existing RAM (GB)]))</f>
        <v>0</v>
      </c>
      <c r="EY3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3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3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3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39" s="66">
        <f>IF(ISBLANK(HostBuild[Server Model]),0,IF(HostBuild[Server Tier]="VMware",0,VLOOKUP(HostBuild[Server Tier],[1]!ServerTierRates[#Data],2,0))*HostBuild[CPU]*IF(AND(HostBuild[Server Type]="pSeries",HostBuild[Virtual Platform Storage Type]="Cloud-SAN"),0.25,1))</f>
        <v>0</v>
      </c>
      <c r="FD39" s="66">
        <f>0</f>
        <v>0</v>
      </c>
      <c r="FE39" s="66">
        <f>IF(HostBuild[Server Type]="VMware",HostBuild[RAM 
(GB)]*IF(ISERROR(FIND("DevCloud", HostBuild[Server Model])&gt;0),vRAM_per_vCPU_2014_Monthly,vRAM_per_vCPU_2014_Daily*30),0)</f>
        <v>0</v>
      </c>
      <c r="FF3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3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39" s="69">
        <f>IF(HostBuild[Server Tier]="VMware",0,IF(LEFT(HostBuild[Existing Server?],3)="Yes",0,IF(OR(HostBuild[Server Type]="Sun",HostBuild[Server Type]="pSeries"),Support_Direct_Server_Sun_per_OS_2014,IF(HostBuild[Server Type]="x86",Support_Direct_Server_x86_Wintel_per_OS_2014,0))))</f>
        <v>0</v>
      </c>
      <c r="FI3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0" spans="1:165" hidden="1">
      <c r="A40" s="122" t="s">
        <v>53</v>
      </c>
      <c r="B40" s="36"/>
      <c r="C40" s="36"/>
      <c r="D40" s="36"/>
      <c r="E40" s="37"/>
      <c r="F40" s="37"/>
      <c r="G40" s="103"/>
      <c r="H40" s="103"/>
      <c r="I40" s="38"/>
      <c r="J40" s="37"/>
      <c r="K40" s="37"/>
      <c r="L40" s="37"/>
      <c r="M40" s="103" t="e">
        <f ca="1">IF(rngIsDate(HostBuild[CTO Acceptance]),"Y","N")</f>
        <v>#NAME?</v>
      </c>
      <c r="N40" s="123" t="s">
        <v>3</v>
      </c>
      <c r="O40" s="39"/>
      <c r="P40" s="39"/>
      <c r="Q40" s="123" t="s">
        <v>52</v>
      </c>
      <c r="R40" s="126" t="str">
        <f>IF(NOT(ISBLANK(HostBuild[Env Label])),IFERROR(VLOOKUP(HostBuild[Env Label],[1]!tEnv[#Data],3,FALSE),""),"")</f>
        <v/>
      </c>
      <c r="S40" s="104"/>
      <c r="T40" s="40"/>
      <c r="U40" s="105"/>
      <c r="V40" s="123" t="s">
        <v>55</v>
      </c>
      <c r="W40" s="123" t="s">
        <v>56</v>
      </c>
      <c r="X40" s="123" t="s">
        <v>57</v>
      </c>
      <c r="Y40" s="123" t="s">
        <v>58</v>
      </c>
      <c r="Z40" s="126" t="str">
        <f>IF(NOT(ISBLANK(HostBuild[[#This Row],[Product 
(Acronym)]])),CONCATENATE(HostBuild[[#This Row],[Type]],"-",HostBuild[[#This Row],[Product 
(Acronym)]]),"")</f>
        <v>AP-ESB</v>
      </c>
      <c r="AA40" s="106"/>
      <c r="AB40" s="106" t="s">
        <v>59</v>
      </c>
      <c r="AC40" s="41"/>
      <c r="AD40" s="42"/>
      <c r="AE40" s="42"/>
      <c r="AF40" s="43" t="s">
        <v>60</v>
      </c>
      <c r="AG40" s="124"/>
      <c r="AH40" s="107"/>
      <c r="AI40" s="124" t="s">
        <v>123</v>
      </c>
      <c r="AJ40" s="115">
        <f>IF(COUNTIF(HostBuild[Alias],HostBuild[Alias]),1/COUNTIF(HostBuild[Alias],HostBuild[Alias]),0)</f>
        <v>1</v>
      </c>
      <c r="AK40" s="124"/>
      <c r="AL40" s="124"/>
      <c r="AM40" s="44" t="s">
        <v>62</v>
      </c>
      <c r="AN40" s="45" t="str">
        <f>IF(NOT(ISBLANK(HostBuild[Server Model])),VLOOKUP(HostBuild[Server Model],[1]!ServerModelsTier[#Data],2,FALSE),"")</f>
        <v>x86 Tier 3</v>
      </c>
      <c r="AO40" s="45" t="str">
        <f>IF(NOT(ISBLANK(HostBuild[Server Model])),VLOOKUP(HostBuild[Server Model],[1]!ServerModelsTier[#Data],5,FALSE),"")</f>
        <v>x86</v>
      </c>
      <c r="AP40" s="44"/>
      <c r="AQ40" s="44" t="s">
        <v>63</v>
      </c>
      <c r="AR40" s="46"/>
      <c r="AS40" s="108"/>
      <c r="AT40" s="47"/>
      <c r="AU40" s="109" t="str">
        <f>IF(IFERROR(FIND("P-Series",HostBuild[Server Tier]),0),CEILING((HostBuild[Existing CPUs]+HostBuild[CPU])*16,8),"")</f>
        <v/>
      </c>
      <c r="AV40" s="48"/>
      <c r="AW40" s="124"/>
      <c r="AX40" s="124"/>
      <c r="AY40" s="124"/>
      <c r="AZ40" s="49"/>
      <c r="BA40" s="124"/>
      <c r="BB40" s="124"/>
      <c r="BC40" s="42"/>
      <c r="BD40" s="124"/>
      <c r="BE40" s="124"/>
      <c r="BF40" s="124"/>
      <c r="BG40" s="124"/>
      <c r="BH40" s="124"/>
      <c r="BI40" s="124"/>
      <c r="BJ40" s="124"/>
      <c r="BK40"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40" s="127"/>
      <c r="BM40" s="129">
        <f>IF(ISNUMBER(HostBuild[Recommended SAN (GB)]),HostBuild[Recommended SAN (GB)])+IF(HostBuild[Additional SAN (GB)]&gt;0,CEILING(HostBuild[Additional SAN (GB)],LUN),-(CEILING(-HostBuild[Additional SAN (GB)],LUN)))</f>
        <v>0</v>
      </c>
      <c r="BN40" s="128"/>
      <c r="BO40" s="129">
        <f>HostBuild[SAN (GB)
NEEDED TODAY]+CEILING(HostBuild[SAN (GB)
RESERVED
DO NOT USE TO BUILD], LUN)</f>
        <v>0</v>
      </c>
      <c r="BP40" s="130"/>
      <c r="BQ40" s="131"/>
      <c r="BR40" s="125" t="s">
        <v>64</v>
      </c>
      <c r="BS40" s="110">
        <f>IF(HostBuild[Existing Server?]&lt;&gt;"Yes - Inside this BoM",IF(ISNUMBER(HostBuild[RAM 
(GB)]),IF(HostBuild[Existing RAM (GB)]+HostBuild[RAM 
(GB)]&gt;0,IF(HostBuild[Virtual Platform Storage Type]="NAS",110+HostBuild[Existing RAM (GB)]+HostBuild[RAM 
(GB)]*1.75,0),0),0),0)</f>
        <v>0</v>
      </c>
      <c r="BT40" s="111"/>
      <c r="BU40" s="112">
        <f>IF(ISNUMBER(HostBuild[Recommended NAS (GB)]),HostBuild[Recommended NAS (GB)])+HostBuild[Additional NAS (GB)]</f>
        <v>0</v>
      </c>
      <c r="BV40" s="50"/>
      <c r="BW40" s="50"/>
      <c r="BX40" s="133">
        <f>IFERROR((HostBuild[SAN (GB)
End-State
DO NOT USE TO BUILD]+HostBuild[SAN (GB) Shared])*25%,"")</f>
        <v>0</v>
      </c>
      <c r="BY40" s="113">
        <f>IFERROR(HostBuild[Archive
Full (GB)]*15%,"")</f>
        <v>0</v>
      </c>
      <c r="BZ40" s="51"/>
      <c r="CA40" s="51"/>
      <c r="CB40" s="52"/>
      <c r="CC40" s="53"/>
      <c r="CD40" s="52"/>
      <c r="CE40" s="54"/>
      <c r="CF40" s="128"/>
      <c r="CG40" s="114"/>
      <c r="CH40" s="55"/>
      <c r="CI40" s="56"/>
      <c r="CJ40" s="57" t="s">
        <v>65</v>
      </c>
      <c r="CK40" s="58"/>
      <c r="CL40" s="59">
        <f>IFERROR(IF(FIND(CL$1,$W40)&gt;0,IF(INDEX([1]!Product_Pricing_Table[#Data],MATCH(CL$1,Products,0),2)="Cores",IF(HostBuild[Use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0" s="59">
        <f>IFERROR(IF(FIND(CM$1,$W40)&gt;0,IF(INDEX([1]!Product_Pricing_Table[#Data],MATCH(CM$1,Products,0),2)="Cores",IF(HostBuild[Use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0" s="59">
        <f>IFERROR(IF(FIND(CN$1,$W40)&gt;0,IF(INDEX([1]!Product_Pricing_Table[#Data],MATCH(CN$1,Products,0),2)="Cores",IF(HostBuild[Use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0" s="59">
        <f>IFERROR(IF(FIND(CO$1,$W40)&gt;0,IF(INDEX([1]!Product_Pricing_Table[#Data],MATCH(CO$1,Products,0),2)="Cores",IF(HostBuild[Use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0" s="59">
        <f>IFERROR(IF(FIND(CP$1,$W40)&gt;0,IF(INDEX([1]!Product_Pricing_Table[#Data],MATCH(CP$1,Products,0),2)="Cores",IF(HostBuild[Use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0" s="59">
        <f>IFERROR(IF(FIND(CQ$1,$W40)&gt;0,IF(INDEX([1]!Product_Pricing_Table[#Data],MATCH(CQ$1,Products,0),2)="Cores",IF(HostBuild[Use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0" s="59">
        <f>IFERROR(IF(FIND(CR$1,$W40)&gt;0,IF(INDEX([1]!Product_Pricing_Table[#Data],MATCH(CR$1,Products,0),2)="Cores",IF(HostBuild[Use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0" s="59">
        <f>IFERROR(IF(FIND(CS$1,$W40)&gt;0,IF(INDEX([1]!Product_Pricing_Table[#Data],MATCH(CS$1,Products,0),2)="Cores",IF(HostBuild[Use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0" s="59">
        <f>IFERROR(IF(FIND(CT$1,$W40)&gt;0,IF(INDEX([1]!Product_Pricing_Table[#Data],MATCH(CT$1,Products,0),2)="Cores",IF(HostBuild[Use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0" s="59">
        <f>IFERROR(IF(FIND(CU$1,$W40)&gt;0,IF(INDEX([1]!Product_Pricing_Table[#Data],MATCH(CU$1,Products,0),2)="Cores",IF(HostBuild[Use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0" s="59">
        <f>IFERROR(IF(FIND(CV$1,$W40)&gt;0,IF(INDEX([1]!Product_Pricing_Table[#Data],MATCH(CV$1,Products,0),2)="Cores",IF(HostBuild[Use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0" s="59">
        <f>IFERROR(IF(FIND(CW$1,$W40)&gt;0,IF(INDEX([1]!Product_Pricing_Table[#Data],MATCH(CW$1,Products,0),2)="Cores",IF(HostBuild[Use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0" s="59">
        <f>IFERROR(IF(FIND(CX$1,$W40)&gt;0,IF(INDEX([1]!Product_Pricing_Table[#Data],MATCH(CX$1,Products,0),2)="Cores",IF(HostBuild[Use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0" s="59">
        <f>IFERROR(IF(FIND(CY$1,$W40)&gt;0,IF(INDEX([1]!Product_Pricing_Table[#Data],MATCH(CY$1,Products,0),2)="Cores",IF(HostBuild[Use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0" s="59">
        <f>IFERROR(IF(FIND(CZ$1,$W40)&gt;0,IF(INDEX([1]!Product_Pricing_Table[#Data],MATCH(CZ$1,Products,0),2)="Cores",IF(HostBuild[Use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0" s="59">
        <f>IFERROR(IF(FIND(DA$1,$W40)&gt;0,IF(INDEX([1]!Product_Pricing_Table[#Data],MATCH(DA$1,Products,0),2)="Cores",IF(HostBuild[Use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0" s="59">
        <f>IFERROR(IF(FIND(DB$1,$W40)&gt;0,IF(INDEX([1]!Product_Pricing_Table[#Data],MATCH(DB$1,Products,0),2)="Cores",IF(HostBuild[Use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0" s="59">
        <f>IFERROR(IF(FIND(DC$1,$W40)&gt;0,IF(INDEX([1]!Product_Pricing_Table[#Data],MATCH(DC$1,Products,0),2)="Cores",IF(HostBuild[Use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0" s="59">
        <f>IFERROR(IF(FIND(DD$1,$W40)&gt;0,IF(INDEX([1]!Product_Pricing_Table[#Data],MATCH(DD$1,Products,0),2)="Cores",IF(HostBuild[Use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0" s="59">
        <f>IFERROR(IF(FIND(DE$1,$W40)&gt;0,IF(INDEX([1]!Product_Pricing_Table[#Data],MATCH(DE$1,Products,0),2)="Cores",IF(HostBuild[Use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0" s="60">
        <f>IFERROR(IF(FIND(DF$1,$W40)&gt;0,IF(INDEX([1]!Product_Pricing_Table[#Data],MATCH(DF$1,Products,0),2)="Cores",IF(HostBuild[Use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0" s="60">
        <f>IFERROR(IF(FIND(DG$1,$W40)&gt;0,IF(INDEX([1]!Product_Pricing_Table[#Data],MATCH(DG$1,Products,0),2)="Cores",IF(HostBuild[Use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0" s="59">
        <f>IFERROR(IF(FIND(DH$1,$W40)&gt;0,IF(INDEX([1]!Product_Pricing_Table[#Data],MATCH(DH$1,Products,0),2)="Cores",IF(HostBuild[Use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0" s="60">
        <f>IFERROR(IF(FIND(DI$1,$W40)&gt;0,IF(INDEX([1]!Product_Pricing_Table[#Data],MATCH(DI$1,Products,0),2)="Cores",IF(HostBuild[Use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0" s="59">
        <f>IFERROR(IF(FIND(DJ$1,$W40)&gt;0,IF(INDEX([1]!Product_Pricing_Table[#Data],MATCH(DJ$1,Products,0),2)="Cores",IF(HostBuild[Use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0" s="59">
        <f>IFERROR(IF(FIND(DK$1,$W40)&gt;0,IF(INDEX([1]!Product_Pricing_Table[#Data],MATCH(DK$1,Products,0),2)="Cores",IF(HostBuild[Use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0" s="59">
        <f>IFERROR(IF(FIND(DL$1,$W40)&gt;0,IF(INDEX([1]!Product_Pricing_Table[#Data],MATCH(DL$1,Products,0),2)="Cores",IF(HostBuild[Use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0" s="59">
        <f>IFERROR(IF(FIND(DM$1,$W40)&gt;0,IF(INDEX([1]!Product_Pricing_Table[#Data],MATCH(DM$1,Products,0),2)="Cores",IF(HostBuild[Use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0" s="59">
        <f>IFERROR(IF(FIND(DN$1,$W40)&gt;0,IF(INDEX([1]!Product_Pricing_Table[#Data],MATCH(DN$1,Products,0),2)="Cores",IF(HostBuild[Use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0" s="59">
        <f>IFERROR(IF(FIND(DO$1,$W40)&gt;0,IF(INDEX([1]!Product_Pricing_Table[#Data],MATCH(DO$1,Products,0),2)="Cores",IF(HostBuild[Use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0" s="59">
        <f>IFERROR(IF(FIND(DP$1,$W40)&gt;0,IF(INDEX([1]!Product_Pricing_Table[#Data],MATCH(DP$1,Products,0),2)="Cores",IF(HostBuild[Use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0" s="59">
        <f>IFERROR(IF(FIND(DQ$1,$W40)&gt;0,IF(INDEX([1]!Product_Pricing_Table[#Data],MATCH(DQ$1,Products,0),2)="Cores",IF(HostBuild[Use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0" s="59">
        <f>IFERROR(IF(FIND(DR$1,$W40)&gt;0,IF(INDEX([1]!Product_Pricing_Table[#Data],MATCH(DR$1,Products,0),2)="Cores",IF(HostBuild[Use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0" s="59">
        <f>IFERROR(IF(FIND(DS$1,$W40)&gt;0,IF(INDEX([1]!Product_Pricing_Table[#Data],MATCH(DS$1,Products,0),2)="Cores",IF(HostBuild[Use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0" s="59">
        <f>IFERROR(IF(FIND(DT$1,$W40)&gt;0,IF(INDEX([1]!Product_Pricing_Table[#Data],MATCH(DT$1,Products,0),2)="Cores",IF(HostBuild[Use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0" s="59">
        <f>IFERROR(IF(FIND(DU$1,$W40)&gt;0,IF(INDEX([1]!Product_Pricing_Table[#Data],MATCH(DU$1,Products,0),2)="Cores",IF(HostBuild[Use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0" s="59">
        <f>IFERROR(IF(FIND(DV$1,$W40)&gt;0,IF(INDEX([1]!Product_Pricing_Table[#Data],MATCH(DV$1,Products,0),2)="Cores",IF(HostBuild[Use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0" s="59">
        <f>IFERROR(IF(FIND(DW$1,$W40)&gt;0,IF(INDEX([1]!Product_Pricing_Table[#Data],MATCH(DW$1,Products,0),2)="Cores",IF(HostBuild[Use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0" s="59">
        <f>IFERROR(IF(FIND(DX$1,$W40)&gt;0,IF(INDEX([1]!Product_Pricing_Table[#Data],MATCH(DX$1,Products,0),2)="Cores",IF(HostBuild[Use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0" s="59">
        <f>IFERROR(IF(FIND(DY$1,$W40)&gt;0,IF(INDEX([1]!Product_Pricing_Table[#Data],MATCH(DY$1,Products,0),2)="Cores",IF(HostBuild[Use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0" s="59">
        <f>IFERROR(IF(FIND(DZ$1,$W40)&gt;0,IF(INDEX([1]!Product_Pricing_Table[#Data],MATCH(DZ$1,Products,0),2)="Cores",IF(HostBuild[Use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0" s="59">
        <f>IFERROR(IF(FIND(EA$1,$W40)&gt;0,IF(INDEX([1]!Product_Pricing_Table[#Data],MATCH(EA$1,Products,0),2)="Cores",IF(HostBuild[Use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0" s="59">
        <f>IFERROR(IF(FIND(EB$1,$W40)&gt;0,IF(INDEX([1]!Product_Pricing_Table[#Data],MATCH(EB$1,Products,0),2)="Cores",IF(HostBuild[Use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0" s="60">
        <f>IFERROR(IF(FIND(EC$1,$W40)&gt;0,IF(INDEX([1]!Product_Pricing_Table[#Data],MATCH(EC$1,Products,0),2)="Cores",IF(HostBuild[Use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0" s="59">
        <f>IFERROR(IF(FIND(ED$1,$W40)&gt;0,IF(INDEX([1]!Product_Pricing_Table[#Data],MATCH(ED$1,Products,0),2)="Cores",IF(HostBuild[Use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0" s="59">
        <f>IFERROR(IF(FIND(EE$1,$W40)&gt;0,IF(INDEX([1]!Product_Pricing_Table[#Data],MATCH(EE$1,Products,0),2)="Cores",IF(HostBuild[Use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0" s="59">
        <f>IFERROR(IF(FIND(EF$1,$W40)&gt;0,IF(INDEX([1]!Product_Pricing_Table[#Data],MATCH(EF$1,Products,0),2)="Cores",IF(HostBuild[Use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0" s="59">
        <f>IFERROR(IF(FIND(EG$1,$W40)&gt;0,IF(INDEX([1]!Product_Pricing_Table[#Data],MATCH(EG$1,Products,0),2)="Cores",IF(HostBuild[Use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0" s="59">
        <f>IFERROR(IF(FIND(EH$1,$W40)&gt;0,IF(INDEX([1]!Product_Pricing_Table[#Data],MATCH(EH$1,Products,0),2)="Cores",IF(HostBuild[Use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0" s="59">
        <f>IFERROR(IF(FIND(EI$1,$W40)&gt;0,IF(INDEX([1]!Product_Pricing_Table[#Data],MATCH(EI$1,Products,0),2)="Cores",IF(HostBuild[Use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0" s="59">
        <f>IFERROR(IF(FIND(EJ$1,$W40)&gt;0,IF(INDEX([1]!Product_Pricing_Table[#Data],MATCH(EJ$1,Products,0),2)="Cores",IF(HostBuild[Use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0" s="60">
        <f>IFERROR(IF(FIND(EK$1,$W40)&gt;0,IF(INDEX([1]!Product_Pricing_Table[#Data],MATCH(EK$1,Products,0),2)="Cores",IF(HostBuild[Use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0" s="61"/>
      <c r="EM40" s="62"/>
      <c r="EN40" s="63"/>
      <c r="EO40"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4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0" s="132">
        <f>(HostBuild[Archive
Full (GB)]+HostBuild[Archive
Incr (GB)])*Storage_DC_Dist_Tape_2014</f>
        <v>0</v>
      </c>
      <c r="ER40" s="132">
        <f>IF(ISNUMBER(HostBuild[Server HW Costs
(Monthly)]),SUM(HostBuild[[#This Row],[Server HW Costs
(Monthly)]:[Tape Costs
(Monthly)]]),0)</f>
        <v>0</v>
      </c>
      <c r="ES40" s="65">
        <f>HostBuild[Software Costs
'[Year 1']
(Monthly)]+HostBuild[Total Hardware Costs
(Monthly)]</f>
        <v>0</v>
      </c>
      <c r="ET40" s="65">
        <f>IFERROR(IF(FIND("Safenet",HostBuild[Server Model]),Safenet_PSE_PL600_Maint,0),0)+IFERROR(IF(FIND("XI52",HostBuild[Server Model]),IBM_DIA_XI52_Maint,0),0)+HostBuild[Software Costs
'[After Year 1']
(Monthly)]+HostBuild[Total Hardware Costs
(Monthly)]</f>
        <v>0</v>
      </c>
      <c r="EU40" s="66">
        <f>SUM(HostBuild[[#This Row],[Server Cost Breakdown]:[Network Cost]])</f>
        <v>0</v>
      </c>
      <c r="EV40" s="67">
        <f>IF(HostBuild[Existing Server?]="Yes - Inside this BoM",0,SUMIF(HostBuild[Alias],HostBuild[Alias],HostBuild[CPU])+SUMIF(HostBuild[Alias],HostBuild[Alias],HostBuild[Existing CPUs]))</f>
        <v>0</v>
      </c>
      <c r="EW40" s="67">
        <f>IF(HostBuild[Existing Server?]="Yes - Inside this BoM",0,SUMIF(HostBuild[Alias],HostBuild[Alias],HostBuild[Cores 
(Licensed Units)])+SUMIF(HostBuild[Alias],HostBuild[Alias],HostBuild[Existing Cores]))</f>
        <v>0</v>
      </c>
      <c r="EX40" s="67">
        <f>IF(HostBuild[Existing Server?]="Yes - Inside this BoM",0,SUMIF(HostBuild[Alias],HostBuild[Alias],HostBuild[RAM 
(GB)])+SUMIF(HostBuild[Alias],HostBuild[Alias],HostBuild[Existing RAM (GB)]))</f>
        <v>0</v>
      </c>
      <c r="EY4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0" s="66">
        <f>IF(ISBLANK(HostBuild[Server Model]),0,IF(HostBuild[Server Tier]="VMware",0,VLOOKUP(HostBuild[Server Tier],[1]!ServerTierRates[#Data],2,0))*HostBuild[CPU]*IF(AND(HostBuild[Server Type]="pSeries",HostBuild[Virtual Platform Storage Type]="Cloud-SAN"),0.25,1))</f>
        <v>0</v>
      </c>
      <c r="FD40" s="66">
        <f>0</f>
        <v>0</v>
      </c>
      <c r="FE40" s="66">
        <f>IF(HostBuild[Server Type]="VMware",HostBuild[RAM 
(GB)]*IF(ISERROR(FIND("DevCloud", HostBuild[Server Model])&gt;0),vRAM_per_vCPU_2014_Monthly,vRAM_per_vCPU_2014_Daily*30),0)</f>
        <v>0</v>
      </c>
      <c r="FF4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0" s="69">
        <f>IF(HostBuild[Server Tier]="VMware",0,IF(LEFT(HostBuild[Existing Server?],3)="Yes",0,IF(OR(HostBuild[Server Type]="Sun",HostBuild[Server Type]="pSeries"),Support_Direct_Server_Sun_per_OS_2014,IF(HostBuild[Server Type]="x86",Support_Direct_Server_x86_Wintel_per_OS_2014,0))))</f>
        <v>0</v>
      </c>
      <c r="FI4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1" spans="1:165" hidden="1">
      <c r="A41" s="122" t="s">
        <v>53</v>
      </c>
      <c r="B41" s="36"/>
      <c r="C41" s="36"/>
      <c r="D41" s="36"/>
      <c r="E41" s="37"/>
      <c r="F41" s="37"/>
      <c r="G41" s="103"/>
      <c r="H41" s="103"/>
      <c r="I41" s="38"/>
      <c r="J41" s="37"/>
      <c r="K41" s="37"/>
      <c r="L41" s="37"/>
      <c r="M41" s="103" t="e">
        <f ca="1">IF(rngIsDate(HostBuild[CTO Acceptance]),"Y","N")</f>
        <v>#NAME?</v>
      </c>
      <c r="N41" s="123" t="s">
        <v>3</v>
      </c>
      <c r="O41" s="39"/>
      <c r="P41" s="39"/>
      <c r="Q41" s="123" t="s">
        <v>52</v>
      </c>
      <c r="R41" s="126" t="str">
        <f>IF(NOT(ISBLANK(HostBuild[Env Label])),IFERROR(VLOOKUP(HostBuild[Env Label],[1]!tEnv[#Data],3,FALSE),""),"")</f>
        <v/>
      </c>
      <c r="S41" s="104"/>
      <c r="T41" s="40"/>
      <c r="U41" s="105"/>
      <c r="V41" s="123" t="s">
        <v>55</v>
      </c>
      <c r="W41" s="123" t="s">
        <v>56</v>
      </c>
      <c r="X41" s="123" t="s">
        <v>57</v>
      </c>
      <c r="Y41" s="123" t="s">
        <v>58</v>
      </c>
      <c r="Z41" s="126" t="str">
        <f>IF(NOT(ISBLANK(HostBuild[[#This Row],[Product 
(Acronym)]])),CONCATENATE(HostBuild[[#This Row],[Type]],"-",HostBuild[[#This Row],[Product 
(Acronym)]]),"")</f>
        <v>AP-ESB</v>
      </c>
      <c r="AA41" s="106"/>
      <c r="AB41" s="106" t="s">
        <v>59</v>
      </c>
      <c r="AC41" s="41"/>
      <c r="AD41" s="42"/>
      <c r="AE41" s="42"/>
      <c r="AF41" s="43" t="s">
        <v>60</v>
      </c>
      <c r="AG41" s="124"/>
      <c r="AH41" s="107"/>
      <c r="AI41" s="124" t="s">
        <v>124</v>
      </c>
      <c r="AJ41" s="115">
        <f>IF(COUNTIF(HostBuild[Alias],HostBuild[Alias]),1/COUNTIF(HostBuild[Alias],HostBuild[Alias]),0)</f>
        <v>1</v>
      </c>
      <c r="AK41" s="124"/>
      <c r="AL41" s="124"/>
      <c r="AM41" s="44" t="s">
        <v>62</v>
      </c>
      <c r="AN41" s="45" t="str">
        <f>IF(NOT(ISBLANK(HostBuild[Server Model])),VLOOKUP(HostBuild[Server Model],[1]!ServerModelsTier[#Data],2,FALSE),"")</f>
        <v>x86 Tier 3</v>
      </c>
      <c r="AO41" s="45" t="str">
        <f>IF(NOT(ISBLANK(HostBuild[Server Model])),VLOOKUP(HostBuild[Server Model],[1]!ServerModelsTier[#Data],5,FALSE),"")</f>
        <v>x86</v>
      </c>
      <c r="AP41" s="44"/>
      <c r="AQ41" s="44" t="s">
        <v>63</v>
      </c>
      <c r="AR41" s="46"/>
      <c r="AS41" s="108"/>
      <c r="AT41" s="47"/>
      <c r="AU41" s="109" t="str">
        <f>IF(IFERROR(FIND("P-Series",HostBuild[Server Tier]),0),CEILING((HostBuild[Existing CPUs]+HostBuild[CPU])*16,8),"")</f>
        <v/>
      </c>
      <c r="AV41" s="48"/>
      <c r="AW41" s="124"/>
      <c r="AX41" s="124"/>
      <c r="AY41" s="124"/>
      <c r="AZ41" s="49"/>
      <c r="BA41" s="124"/>
      <c r="BB41" s="124"/>
      <c r="BC41" s="42"/>
      <c r="BD41" s="124"/>
      <c r="BE41" s="124"/>
      <c r="BF41" s="124"/>
      <c r="BG41" s="124"/>
      <c r="BH41" s="124"/>
      <c r="BI41" s="124"/>
      <c r="BJ41" s="124"/>
      <c r="BK41"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41" s="127"/>
      <c r="BM41" s="129">
        <f>IF(ISNUMBER(HostBuild[Recommended SAN (GB)]),HostBuild[Recommended SAN (GB)])+IF(HostBuild[Additional SAN (GB)]&gt;0,CEILING(HostBuild[Additional SAN (GB)],LUN),-(CEILING(-HostBuild[Additional SAN (GB)],LUN)))</f>
        <v>0</v>
      </c>
      <c r="BN41" s="128"/>
      <c r="BO41" s="129">
        <f>HostBuild[SAN (GB)
NEEDED TODAY]+CEILING(HostBuild[SAN (GB)
RESERVED
DO NOT USE TO BUILD], LUN)</f>
        <v>0</v>
      </c>
      <c r="BP41" s="130"/>
      <c r="BQ41" s="131"/>
      <c r="BR41" s="125" t="s">
        <v>64</v>
      </c>
      <c r="BS41" s="110">
        <f>IF(HostBuild[Existing Server?]&lt;&gt;"Yes - Inside this BoM",IF(ISNUMBER(HostBuild[RAM 
(GB)]),IF(HostBuild[Existing RAM (GB)]+HostBuild[RAM 
(GB)]&gt;0,IF(HostBuild[Virtual Platform Storage Type]="NAS",110+HostBuild[Existing RAM (GB)]+HostBuild[RAM 
(GB)]*1.75,0),0),0),0)</f>
        <v>0</v>
      </c>
      <c r="BT41" s="111"/>
      <c r="BU41" s="112">
        <f>IF(ISNUMBER(HostBuild[Recommended NAS (GB)]),HostBuild[Recommended NAS (GB)])+HostBuild[Additional NAS (GB)]</f>
        <v>0</v>
      </c>
      <c r="BV41" s="50"/>
      <c r="BW41" s="50"/>
      <c r="BX41" s="133">
        <f>IFERROR((HostBuild[SAN (GB)
End-State
DO NOT USE TO BUILD]+HostBuild[SAN (GB) Shared])*25%,"")</f>
        <v>0</v>
      </c>
      <c r="BY41" s="113">
        <f>IFERROR(HostBuild[Archive
Full (GB)]*15%,"")</f>
        <v>0</v>
      </c>
      <c r="BZ41" s="51"/>
      <c r="CA41" s="51"/>
      <c r="CB41" s="52"/>
      <c r="CC41" s="53"/>
      <c r="CD41" s="52"/>
      <c r="CE41" s="54"/>
      <c r="CF41" s="128"/>
      <c r="CG41" s="114"/>
      <c r="CH41" s="55"/>
      <c r="CI41" s="56"/>
      <c r="CJ41" s="57" t="s">
        <v>65</v>
      </c>
      <c r="CK41" s="58"/>
      <c r="CL41" s="59">
        <f>IFERROR(IF(FIND(CL$1,$W41)&gt;0,IF(INDEX([1]!Product_Pricing_Table[#Data],MATCH(CL$1,Products,0),2)="Cores",IF(HostBuild[Use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1" s="59">
        <f>IFERROR(IF(FIND(CM$1,$W41)&gt;0,IF(INDEX([1]!Product_Pricing_Table[#Data],MATCH(CM$1,Products,0),2)="Cores",IF(HostBuild[Use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1" s="59">
        <f>IFERROR(IF(FIND(CN$1,$W41)&gt;0,IF(INDEX([1]!Product_Pricing_Table[#Data],MATCH(CN$1,Products,0),2)="Cores",IF(HostBuild[Use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1" s="59">
        <f>IFERROR(IF(FIND(CO$1,$W41)&gt;0,IF(INDEX([1]!Product_Pricing_Table[#Data],MATCH(CO$1,Products,0),2)="Cores",IF(HostBuild[Use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1" s="59">
        <f>IFERROR(IF(FIND(CP$1,$W41)&gt;0,IF(INDEX([1]!Product_Pricing_Table[#Data],MATCH(CP$1,Products,0),2)="Cores",IF(HostBuild[Use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1" s="59">
        <f>IFERROR(IF(FIND(CQ$1,$W41)&gt;0,IF(INDEX([1]!Product_Pricing_Table[#Data],MATCH(CQ$1,Products,0),2)="Cores",IF(HostBuild[Use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1" s="59">
        <f>IFERROR(IF(FIND(CR$1,$W41)&gt;0,IF(INDEX([1]!Product_Pricing_Table[#Data],MATCH(CR$1,Products,0),2)="Cores",IF(HostBuild[Use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1" s="59">
        <f>IFERROR(IF(FIND(CS$1,$W41)&gt;0,IF(INDEX([1]!Product_Pricing_Table[#Data],MATCH(CS$1,Products,0),2)="Cores",IF(HostBuild[Use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1" s="59">
        <f>IFERROR(IF(FIND(CT$1,$W41)&gt;0,IF(INDEX([1]!Product_Pricing_Table[#Data],MATCH(CT$1,Products,0),2)="Cores",IF(HostBuild[Use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1" s="59">
        <f>IFERROR(IF(FIND(CU$1,$W41)&gt;0,IF(INDEX([1]!Product_Pricing_Table[#Data],MATCH(CU$1,Products,0),2)="Cores",IF(HostBuild[Use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1" s="59">
        <f>IFERROR(IF(FIND(CV$1,$W41)&gt;0,IF(INDEX([1]!Product_Pricing_Table[#Data],MATCH(CV$1,Products,0),2)="Cores",IF(HostBuild[Use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1" s="59">
        <f>IFERROR(IF(FIND(CW$1,$W41)&gt;0,IF(INDEX([1]!Product_Pricing_Table[#Data],MATCH(CW$1,Products,0),2)="Cores",IF(HostBuild[Use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1" s="59">
        <f>IFERROR(IF(FIND(CX$1,$W41)&gt;0,IF(INDEX([1]!Product_Pricing_Table[#Data],MATCH(CX$1,Products,0),2)="Cores",IF(HostBuild[Use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1" s="59">
        <f>IFERROR(IF(FIND(CY$1,$W41)&gt;0,IF(INDEX([1]!Product_Pricing_Table[#Data],MATCH(CY$1,Products,0),2)="Cores",IF(HostBuild[Use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1" s="59">
        <f>IFERROR(IF(FIND(CZ$1,$W41)&gt;0,IF(INDEX([1]!Product_Pricing_Table[#Data],MATCH(CZ$1,Products,0),2)="Cores",IF(HostBuild[Use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1" s="59">
        <f>IFERROR(IF(FIND(DA$1,$W41)&gt;0,IF(INDEX([1]!Product_Pricing_Table[#Data],MATCH(DA$1,Products,0),2)="Cores",IF(HostBuild[Use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1" s="59">
        <f>IFERROR(IF(FIND(DB$1,$W41)&gt;0,IF(INDEX([1]!Product_Pricing_Table[#Data],MATCH(DB$1,Products,0),2)="Cores",IF(HostBuild[Use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1" s="59">
        <f>IFERROR(IF(FIND(DC$1,$W41)&gt;0,IF(INDEX([1]!Product_Pricing_Table[#Data],MATCH(DC$1,Products,0),2)="Cores",IF(HostBuild[Use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1" s="59">
        <f>IFERROR(IF(FIND(DD$1,$W41)&gt;0,IF(INDEX([1]!Product_Pricing_Table[#Data],MATCH(DD$1,Products,0),2)="Cores",IF(HostBuild[Use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1" s="59">
        <f>IFERROR(IF(FIND(DE$1,$W41)&gt;0,IF(INDEX([1]!Product_Pricing_Table[#Data],MATCH(DE$1,Products,0),2)="Cores",IF(HostBuild[Use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1" s="60">
        <f>IFERROR(IF(FIND(DF$1,$W41)&gt;0,IF(INDEX([1]!Product_Pricing_Table[#Data],MATCH(DF$1,Products,0),2)="Cores",IF(HostBuild[Use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1" s="60">
        <f>IFERROR(IF(FIND(DG$1,$W41)&gt;0,IF(INDEX([1]!Product_Pricing_Table[#Data],MATCH(DG$1,Products,0),2)="Cores",IF(HostBuild[Use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1" s="59">
        <f>IFERROR(IF(FIND(DH$1,$W41)&gt;0,IF(INDEX([1]!Product_Pricing_Table[#Data],MATCH(DH$1,Products,0),2)="Cores",IF(HostBuild[Use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1" s="60">
        <f>IFERROR(IF(FIND(DI$1,$W41)&gt;0,IF(INDEX([1]!Product_Pricing_Table[#Data],MATCH(DI$1,Products,0),2)="Cores",IF(HostBuild[Use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1" s="59">
        <f>IFERROR(IF(FIND(DJ$1,$W41)&gt;0,IF(INDEX([1]!Product_Pricing_Table[#Data],MATCH(DJ$1,Products,0),2)="Cores",IF(HostBuild[Use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1" s="59">
        <f>IFERROR(IF(FIND(DK$1,$W41)&gt;0,IF(INDEX([1]!Product_Pricing_Table[#Data],MATCH(DK$1,Products,0),2)="Cores",IF(HostBuild[Use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1" s="59">
        <f>IFERROR(IF(FIND(DL$1,$W41)&gt;0,IF(INDEX([1]!Product_Pricing_Table[#Data],MATCH(DL$1,Products,0),2)="Cores",IF(HostBuild[Use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1" s="59">
        <f>IFERROR(IF(FIND(DM$1,$W41)&gt;0,IF(INDEX([1]!Product_Pricing_Table[#Data],MATCH(DM$1,Products,0),2)="Cores",IF(HostBuild[Use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1" s="59">
        <f>IFERROR(IF(FIND(DN$1,$W41)&gt;0,IF(INDEX([1]!Product_Pricing_Table[#Data],MATCH(DN$1,Products,0),2)="Cores",IF(HostBuild[Use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1" s="59">
        <f>IFERROR(IF(FIND(DO$1,$W41)&gt;0,IF(INDEX([1]!Product_Pricing_Table[#Data],MATCH(DO$1,Products,0),2)="Cores",IF(HostBuild[Use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1" s="59">
        <f>IFERROR(IF(FIND(DP$1,$W41)&gt;0,IF(INDEX([1]!Product_Pricing_Table[#Data],MATCH(DP$1,Products,0),2)="Cores",IF(HostBuild[Use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1" s="59">
        <f>IFERROR(IF(FIND(DQ$1,$W41)&gt;0,IF(INDEX([1]!Product_Pricing_Table[#Data],MATCH(DQ$1,Products,0),2)="Cores",IF(HostBuild[Use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1" s="59">
        <f>IFERROR(IF(FIND(DR$1,$W41)&gt;0,IF(INDEX([1]!Product_Pricing_Table[#Data],MATCH(DR$1,Products,0),2)="Cores",IF(HostBuild[Use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1" s="59">
        <f>IFERROR(IF(FIND(DS$1,$W41)&gt;0,IF(INDEX([1]!Product_Pricing_Table[#Data],MATCH(DS$1,Products,0),2)="Cores",IF(HostBuild[Use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1" s="59">
        <f>IFERROR(IF(FIND(DT$1,$W41)&gt;0,IF(INDEX([1]!Product_Pricing_Table[#Data],MATCH(DT$1,Products,0),2)="Cores",IF(HostBuild[Use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1" s="59">
        <f>IFERROR(IF(FIND(DU$1,$W41)&gt;0,IF(INDEX([1]!Product_Pricing_Table[#Data],MATCH(DU$1,Products,0),2)="Cores",IF(HostBuild[Use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1" s="59">
        <f>IFERROR(IF(FIND(DV$1,$W41)&gt;0,IF(INDEX([1]!Product_Pricing_Table[#Data],MATCH(DV$1,Products,0),2)="Cores",IF(HostBuild[Use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1" s="59">
        <f>IFERROR(IF(FIND(DW$1,$W41)&gt;0,IF(INDEX([1]!Product_Pricing_Table[#Data],MATCH(DW$1,Products,0),2)="Cores",IF(HostBuild[Use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1" s="59">
        <f>IFERROR(IF(FIND(DX$1,$W41)&gt;0,IF(INDEX([1]!Product_Pricing_Table[#Data],MATCH(DX$1,Products,0),2)="Cores",IF(HostBuild[Use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1" s="59">
        <f>IFERROR(IF(FIND(DY$1,$W41)&gt;0,IF(INDEX([1]!Product_Pricing_Table[#Data],MATCH(DY$1,Products,0),2)="Cores",IF(HostBuild[Use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1" s="59">
        <f>IFERROR(IF(FIND(DZ$1,$W41)&gt;0,IF(INDEX([1]!Product_Pricing_Table[#Data],MATCH(DZ$1,Products,0),2)="Cores",IF(HostBuild[Use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1" s="59">
        <f>IFERROR(IF(FIND(EA$1,$W41)&gt;0,IF(INDEX([1]!Product_Pricing_Table[#Data],MATCH(EA$1,Products,0),2)="Cores",IF(HostBuild[Use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1" s="59">
        <f>IFERROR(IF(FIND(EB$1,$W41)&gt;0,IF(INDEX([1]!Product_Pricing_Table[#Data],MATCH(EB$1,Products,0),2)="Cores",IF(HostBuild[Use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1" s="60">
        <f>IFERROR(IF(FIND(EC$1,$W41)&gt;0,IF(INDEX([1]!Product_Pricing_Table[#Data],MATCH(EC$1,Products,0),2)="Cores",IF(HostBuild[Use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1" s="59">
        <f>IFERROR(IF(FIND(ED$1,$W41)&gt;0,IF(INDEX([1]!Product_Pricing_Table[#Data],MATCH(ED$1,Products,0),2)="Cores",IF(HostBuild[Use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1" s="59">
        <f>IFERROR(IF(FIND(EE$1,$W41)&gt;0,IF(INDEX([1]!Product_Pricing_Table[#Data],MATCH(EE$1,Products,0),2)="Cores",IF(HostBuild[Use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1" s="59">
        <f>IFERROR(IF(FIND(EF$1,$W41)&gt;0,IF(INDEX([1]!Product_Pricing_Table[#Data],MATCH(EF$1,Products,0),2)="Cores",IF(HostBuild[Use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1" s="59">
        <f>IFERROR(IF(FIND(EG$1,$W41)&gt;0,IF(INDEX([1]!Product_Pricing_Table[#Data],MATCH(EG$1,Products,0),2)="Cores",IF(HostBuild[Use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1" s="59">
        <f>IFERROR(IF(FIND(EH$1,$W41)&gt;0,IF(INDEX([1]!Product_Pricing_Table[#Data],MATCH(EH$1,Products,0),2)="Cores",IF(HostBuild[Use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1" s="59">
        <f>IFERROR(IF(FIND(EI$1,$W41)&gt;0,IF(INDEX([1]!Product_Pricing_Table[#Data],MATCH(EI$1,Products,0),2)="Cores",IF(HostBuild[Use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1" s="59">
        <f>IFERROR(IF(FIND(EJ$1,$W41)&gt;0,IF(INDEX([1]!Product_Pricing_Table[#Data],MATCH(EJ$1,Products,0),2)="Cores",IF(HostBuild[Use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1" s="60">
        <f>IFERROR(IF(FIND(EK$1,$W41)&gt;0,IF(INDEX([1]!Product_Pricing_Table[#Data],MATCH(EK$1,Products,0),2)="Cores",IF(HostBuild[Use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1" s="61"/>
      <c r="EM41" s="62"/>
      <c r="EN41" s="63"/>
      <c r="EO41"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4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1" s="132">
        <f>(HostBuild[Archive
Full (GB)]+HostBuild[Archive
Incr (GB)])*Storage_DC_Dist_Tape_2014</f>
        <v>0</v>
      </c>
      <c r="ER41" s="132">
        <f>IF(ISNUMBER(HostBuild[Server HW Costs
(Monthly)]),SUM(HostBuild[[#This Row],[Server HW Costs
(Monthly)]:[Tape Costs
(Monthly)]]),0)</f>
        <v>0</v>
      </c>
      <c r="ES41" s="65">
        <f>HostBuild[Software Costs
'[Year 1']
(Monthly)]+HostBuild[Total Hardware Costs
(Monthly)]</f>
        <v>0</v>
      </c>
      <c r="ET41" s="65">
        <f>IFERROR(IF(FIND("Safenet",HostBuild[Server Model]),Safenet_PSE_PL600_Maint,0),0)+IFERROR(IF(FIND("XI52",HostBuild[Server Model]),IBM_DIA_XI52_Maint,0),0)+HostBuild[Software Costs
'[After Year 1']
(Monthly)]+HostBuild[Total Hardware Costs
(Monthly)]</f>
        <v>0</v>
      </c>
      <c r="EU41" s="66">
        <f>SUM(HostBuild[[#This Row],[Server Cost Breakdown]:[Network Cost]])</f>
        <v>0</v>
      </c>
      <c r="EV41" s="67">
        <f>IF(HostBuild[Existing Server?]="Yes - Inside this BoM",0,SUMIF(HostBuild[Alias],HostBuild[Alias],HostBuild[CPU])+SUMIF(HostBuild[Alias],HostBuild[Alias],HostBuild[Existing CPUs]))</f>
        <v>0</v>
      </c>
      <c r="EW41" s="67">
        <f>IF(HostBuild[Existing Server?]="Yes - Inside this BoM",0,SUMIF(HostBuild[Alias],HostBuild[Alias],HostBuild[Cores 
(Licensed Units)])+SUMIF(HostBuild[Alias],HostBuild[Alias],HostBuild[Existing Cores]))</f>
        <v>0</v>
      </c>
      <c r="EX41" s="67">
        <f>IF(HostBuild[Existing Server?]="Yes - Inside this BoM",0,SUMIF(HostBuild[Alias],HostBuild[Alias],HostBuild[RAM 
(GB)])+SUMIF(HostBuild[Alias],HostBuild[Alias],HostBuild[Existing RAM (GB)]))</f>
        <v>0</v>
      </c>
      <c r="EY4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1" s="66">
        <f>IF(ISBLANK(HostBuild[Server Model]),0,IF(HostBuild[Server Tier]="VMware",0,VLOOKUP(HostBuild[Server Tier],[1]!ServerTierRates[#Data],2,0))*HostBuild[CPU]*IF(AND(HostBuild[Server Type]="pSeries",HostBuild[Virtual Platform Storage Type]="Cloud-SAN"),0.25,1))</f>
        <v>0</v>
      </c>
      <c r="FD41" s="66">
        <f>0</f>
        <v>0</v>
      </c>
      <c r="FE41" s="66">
        <f>IF(HostBuild[Server Type]="VMware",HostBuild[RAM 
(GB)]*IF(ISERROR(FIND("DevCloud", HostBuild[Server Model])&gt;0),vRAM_per_vCPU_2014_Monthly,vRAM_per_vCPU_2014_Daily*30),0)</f>
        <v>0</v>
      </c>
      <c r="FF4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1" s="69">
        <f>IF(HostBuild[Server Tier]="VMware",0,IF(LEFT(HostBuild[Existing Server?],3)="Yes",0,IF(OR(HostBuild[Server Type]="Sun",HostBuild[Server Type]="pSeries"),Support_Direct_Server_Sun_per_OS_2014,IF(HostBuild[Server Type]="x86",Support_Direct_Server_x86_Wintel_per_OS_2014,0))))</f>
        <v>0</v>
      </c>
      <c r="FI4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2" spans="1:165" hidden="1">
      <c r="A42" s="122" t="s">
        <v>53</v>
      </c>
      <c r="B42" s="36"/>
      <c r="C42" s="36"/>
      <c r="D42" s="36"/>
      <c r="E42" s="37"/>
      <c r="F42" s="37"/>
      <c r="G42" s="103"/>
      <c r="H42" s="103"/>
      <c r="I42" s="38"/>
      <c r="J42" s="37"/>
      <c r="K42" s="37"/>
      <c r="L42" s="37"/>
      <c r="M42" s="103" t="e">
        <f ca="1">IF(rngIsDate(HostBuild[CTO Acceptance]),"Y","N")</f>
        <v>#NAME?</v>
      </c>
      <c r="N42" s="123" t="s">
        <v>3</v>
      </c>
      <c r="O42" s="39"/>
      <c r="P42" s="39"/>
      <c r="Q42" s="123" t="s">
        <v>52</v>
      </c>
      <c r="R42" s="126" t="str">
        <f>IF(NOT(ISBLANK(HostBuild[Env Label])),IFERROR(VLOOKUP(HostBuild[Env Label],[1]!tEnv[#Data],3,FALSE),""),"")</f>
        <v/>
      </c>
      <c r="S42" s="104"/>
      <c r="T42" s="40"/>
      <c r="U42" s="105"/>
      <c r="V42" s="123" t="s">
        <v>55</v>
      </c>
      <c r="W42" s="123" t="s">
        <v>56</v>
      </c>
      <c r="X42" s="123" t="s">
        <v>57</v>
      </c>
      <c r="Y42" s="123" t="s">
        <v>58</v>
      </c>
      <c r="Z42" s="126" t="str">
        <f>IF(NOT(ISBLANK(HostBuild[[#This Row],[Product 
(Acronym)]])),CONCATENATE(HostBuild[[#This Row],[Type]],"-",HostBuild[[#This Row],[Product 
(Acronym)]]),"")</f>
        <v>AP-ESB</v>
      </c>
      <c r="AA42" s="106"/>
      <c r="AB42" s="106" t="s">
        <v>59</v>
      </c>
      <c r="AC42" s="41"/>
      <c r="AD42" s="42"/>
      <c r="AE42" s="42"/>
      <c r="AF42" s="43" t="s">
        <v>60</v>
      </c>
      <c r="AG42" s="124"/>
      <c r="AH42" s="107"/>
      <c r="AI42" s="124" t="s">
        <v>125</v>
      </c>
      <c r="AJ42" s="115">
        <f>IF(COUNTIF(HostBuild[Alias],HostBuild[Alias]),1/COUNTIF(HostBuild[Alias],HostBuild[Alias]),0)</f>
        <v>1</v>
      </c>
      <c r="AK42" s="124"/>
      <c r="AL42" s="124"/>
      <c r="AM42" s="44" t="s">
        <v>62</v>
      </c>
      <c r="AN42" s="45" t="str">
        <f>IF(NOT(ISBLANK(HostBuild[Server Model])),VLOOKUP(HostBuild[Server Model],[1]!ServerModelsTier[#Data],2,FALSE),"")</f>
        <v>x86 Tier 3</v>
      </c>
      <c r="AO42" s="45" t="str">
        <f>IF(NOT(ISBLANK(HostBuild[Server Model])),VLOOKUP(HostBuild[Server Model],[1]!ServerModelsTier[#Data],5,FALSE),"")</f>
        <v>x86</v>
      </c>
      <c r="AP42" s="44"/>
      <c r="AQ42" s="44" t="s">
        <v>63</v>
      </c>
      <c r="AR42" s="46"/>
      <c r="AS42" s="108"/>
      <c r="AT42" s="47"/>
      <c r="AU42" s="109" t="str">
        <f>IF(IFERROR(FIND("P-Series",HostBuild[Server Tier]),0),CEILING((HostBuild[Existing CPUs]+HostBuild[CPU])*16,8),"")</f>
        <v/>
      </c>
      <c r="AV42" s="48"/>
      <c r="AW42" s="124"/>
      <c r="AX42" s="124"/>
      <c r="AY42" s="124"/>
      <c r="AZ42" s="49"/>
      <c r="BA42" s="124"/>
      <c r="BB42" s="124"/>
      <c r="BC42" s="42"/>
      <c r="BD42" s="124"/>
      <c r="BE42" s="124"/>
      <c r="BF42" s="124"/>
      <c r="BG42" s="124"/>
      <c r="BH42" s="124"/>
      <c r="BI42" s="124"/>
      <c r="BJ42" s="124"/>
      <c r="BK42"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42" s="127"/>
      <c r="BM42" s="129">
        <f>IF(ISNUMBER(HostBuild[Recommended SAN (GB)]),HostBuild[Recommended SAN (GB)])+IF(HostBuild[Additional SAN (GB)]&gt;0,CEILING(HostBuild[Additional SAN (GB)],LUN),-(CEILING(-HostBuild[Additional SAN (GB)],LUN)))</f>
        <v>0</v>
      </c>
      <c r="BN42" s="128"/>
      <c r="BO42" s="129">
        <f>HostBuild[SAN (GB)
NEEDED TODAY]+CEILING(HostBuild[SAN (GB)
RESERVED
DO NOT USE TO BUILD], LUN)</f>
        <v>0</v>
      </c>
      <c r="BP42" s="130"/>
      <c r="BQ42" s="131"/>
      <c r="BR42" s="125" t="s">
        <v>64</v>
      </c>
      <c r="BS42" s="110">
        <f>IF(HostBuild[Existing Server?]&lt;&gt;"Yes - Inside this BoM",IF(ISNUMBER(HostBuild[RAM 
(GB)]),IF(HostBuild[Existing RAM (GB)]+HostBuild[RAM 
(GB)]&gt;0,IF(HostBuild[Virtual Platform Storage Type]="NAS",110+HostBuild[Existing RAM (GB)]+HostBuild[RAM 
(GB)]*1.75,0),0),0),0)</f>
        <v>0</v>
      </c>
      <c r="BT42" s="111"/>
      <c r="BU42" s="112">
        <f>IF(ISNUMBER(HostBuild[Recommended NAS (GB)]),HostBuild[Recommended NAS (GB)])+HostBuild[Additional NAS (GB)]</f>
        <v>0</v>
      </c>
      <c r="BV42" s="50"/>
      <c r="BW42" s="50"/>
      <c r="BX42" s="133">
        <f>IFERROR((HostBuild[SAN (GB)
End-State
DO NOT USE TO BUILD]+HostBuild[SAN (GB) Shared])*25%,"")</f>
        <v>0</v>
      </c>
      <c r="BY42" s="113">
        <f>IFERROR(HostBuild[Archive
Full (GB)]*15%,"")</f>
        <v>0</v>
      </c>
      <c r="BZ42" s="51"/>
      <c r="CA42" s="51"/>
      <c r="CB42" s="52"/>
      <c r="CC42" s="53"/>
      <c r="CD42" s="52"/>
      <c r="CE42" s="54"/>
      <c r="CF42" s="128"/>
      <c r="CG42" s="114"/>
      <c r="CH42" s="55"/>
      <c r="CI42" s="56"/>
      <c r="CJ42" s="57" t="s">
        <v>65</v>
      </c>
      <c r="CK42" s="58"/>
      <c r="CL42" s="59">
        <f>IFERROR(IF(FIND(CL$1,$W42)&gt;0,IF(INDEX([1]!Product_Pricing_Table[#Data],MATCH(CL$1,Products,0),2)="Cores",IF(HostBuild[Use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2" s="59">
        <f>IFERROR(IF(FIND(CM$1,$W42)&gt;0,IF(INDEX([1]!Product_Pricing_Table[#Data],MATCH(CM$1,Products,0),2)="Cores",IF(HostBuild[Use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2" s="59">
        <f>IFERROR(IF(FIND(CN$1,$W42)&gt;0,IF(INDEX([1]!Product_Pricing_Table[#Data],MATCH(CN$1,Products,0),2)="Cores",IF(HostBuild[Use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2" s="59">
        <f>IFERROR(IF(FIND(CO$1,$W42)&gt;0,IF(INDEX([1]!Product_Pricing_Table[#Data],MATCH(CO$1,Products,0),2)="Cores",IF(HostBuild[Use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2" s="59">
        <f>IFERROR(IF(FIND(CP$1,$W42)&gt;0,IF(INDEX([1]!Product_Pricing_Table[#Data],MATCH(CP$1,Products,0),2)="Cores",IF(HostBuild[Use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2" s="59">
        <f>IFERROR(IF(FIND(CQ$1,$W42)&gt;0,IF(INDEX([1]!Product_Pricing_Table[#Data],MATCH(CQ$1,Products,0),2)="Cores",IF(HostBuild[Use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2" s="59">
        <f>IFERROR(IF(FIND(CR$1,$W42)&gt;0,IF(INDEX([1]!Product_Pricing_Table[#Data],MATCH(CR$1,Products,0),2)="Cores",IF(HostBuild[Use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2" s="59">
        <f>IFERROR(IF(FIND(CS$1,$W42)&gt;0,IF(INDEX([1]!Product_Pricing_Table[#Data],MATCH(CS$1,Products,0),2)="Cores",IF(HostBuild[Use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2" s="59">
        <f>IFERROR(IF(FIND(CT$1,$W42)&gt;0,IF(INDEX([1]!Product_Pricing_Table[#Data],MATCH(CT$1,Products,0),2)="Cores",IF(HostBuild[Use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2" s="59">
        <f>IFERROR(IF(FIND(CU$1,$W42)&gt;0,IF(INDEX([1]!Product_Pricing_Table[#Data],MATCH(CU$1,Products,0),2)="Cores",IF(HostBuild[Use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2" s="59">
        <f>IFERROR(IF(FIND(CV$1,$W42)&gt;0,IF(INDEX([1]!Product_Pricing_Table[#Data],MATCH(CV$1,Products,0),2)="Cores",IF(HostBuild[Use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2" s="59">
        <f>IFERROR(IF(FIND(CW$1,$W42)&gt;0,IF(INDEX([1]!Product_Pricing_Table[#Data],MATCH(CW$1,Products,0),2)="Cores",IF(HostBuild[Use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2" s="59">
        <f>IFERROR(IF(FIND(CX$1,$W42)&gt;0,IF(INDEX([1]!Product_Pricing_Table[#Data],MATCH(CX$1,Products,0),2)="Cores",IF(HostBuild[Use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2" s="59">
        <f>IFERROR(IF(FIND(CY$1,$W42)&gt;0,IF(INDEX([1]!Product_Pricing_Table[#Data],MATCH(CY$1,Products,0),2)="Cores",IF(HostBuild[Use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2" s="59">
        <f>IFERROR(IF(FIND(CZ$1,$W42)&gt;0,IF(INDEX([1]!Product_Pricing_Table[#Data],MATCH(CZ$1,Products,0),2)="Cores",IF(HostBuild[Use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2" s="59">
        <f>IFERROR(IF(FIND(DA$1,$W42)&gt;0,IF(INDEX([1]!Product_Pricing_Table[#Data],MATCH(DA$1,Products,0),2)="Cores",IF(HostBuild[Use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2" s="59">
        <f>IFERROR(IF(FIND(DB$1,$W42)&gt;0,IF(INDEX([1]!Product_Pricing_Table[#Data],MATCH(DB$1,Products,0),2)="Cores",IF(HostBuild[Use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2" s="59">
        <f>IFERROR(IF(FIND(DC$1,$W42)&gt;0,IF(INDEX([1]!Product_Pricing_Table[#Data],MATCH(DC$1,Products,0),2)="Cores",IF(HostBuild[Use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2" s="59">
        <f>IFERROR(IF(FIND(DD$1,$W42)&gt;0,IF(INDEX([1]!Product_Pricing_Table[#Data],MATCH(DD$1,Products,0),2)="Cores",IF(HostBuild[Use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2" s="59">
        <f>IFERROR(IF(FIND(DE$1,$W42)&gt;0,IF(INDEX([1]!Product_Pricing_Table[#Data],MATCH(DE$1,Products,0),2)="Cores",IF(HostBuild[Use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2" s="60">
        <f>IFERROR(IF(FIND(DF$1,$W42)&gt;0,IF(INDEX([1]!Product_Pricing_Table[#Data],MATCH(DF$1,Products,0),2)="Cores",IF(HostBuild[Use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2" s="60">
        <f>IFERROR(IF(FIND(DG$1,$W42)&gt;0,IF(INDEX([1]!Product_Pricing_Table[#Data],MATCH(DG$1,Products,0),2)="Cores",IF(HostBuild[Use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2" s="59">
        <f>IFERROR(IF(FIND(DH$1,$W42)&gt;0,IF(INDEX([1]!Product_Pricing_Table[#Data],MATCH(DH$1,Products,0),2)="Cores",IF(HostBuild[Use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2" s="60">
        <f>IFERROR(IF(FIND(DI$1,$W42)&gt;0,IF(INDEX([1]!Product_Pricing_Table[#Data],MATCH(DI$1,Products,0),2)="Cores",IF(HostBuild[Use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2" s="59">
        <f>IFERROR(IF(FIND(DJ$1,$W42)&gt;0,IF(INDEX([1]!Product_Pricing_Table[#Data],MATCH(DJ$1,Products,0),2)="Cores",IF(HostBuild[Use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2" s="59">
        <f>IFERROR(IF(FIND(DK$1,$W42)&gt;0,IF(INDEX([1]!Product_Pricing_Table[#Data],MATCH(DK$1,Products,0),2)="Cores",IF(HostBuild[Use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2" s="59">
        <f>IFERROR(IF(FIND(DL$1,$W42)&gt;0,IF(INDEX([1]!Product_Pricing_Table[#Data],MATCH(DL$1,Products,0),2)="Cores",IF(HostBuild[Use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2" s="59">
        <f>IFERROR(IF(FIND(DM$1,$W42)&gt;0,IF(INDEX([1]!Product_Pricing_Table[#Data],MATCH(DM$1,Products,0),2)="Cores",IF(HostBuild[Use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2" s="59">
        <f>IFERROR(IF(FIND(DN$1,$W42)&gt;0,IF(INDEX([1]!Product_Pricing_Table[#Data],MATCH(DN$1,Products,0),2)="Cores",IF(HostBuild[Use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2" s="59">
        <f>IFERROR(IF(FIND(DO$1,$W42)&gt;0,IF(INDEX([1]!Product_Pricing_Table[#Data],MATCH(DO$1,Products,0),2)="Cores",IF(HostBuild[Use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2" s="59">
        <f>IFERROR(IF(FIND(DP$1,$W42)&gt;0,IF(INDEX([1]!Product_Pricing_Table[#Data],MATCH(DP$1,Products,0),2)="Cores",IF(HostBuild[Use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2" s="59">
        <f>IFERROR(IF(FIND(DQ$1,$W42)&gt;0,IF(INDEX([1]!Product_Pricing_Table[#Data],MATCH(DQ$1,Products,0),2)="Cores",IF(HostBuild[Use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2" s="59">
        <f>IFERROR(IF(FIND(DR$1,$W42)&gt;0,IF(INDEX([1]!Product_Pricing_Table[#Data],MATCH(DR$1,Products,0),2)="Cores",IF(HostBuild[Use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2" s="59">
        <f>IFERROR(IF(FIND(DS$1,$W42)&gt;0,IF(INDEX([1]!Product_Pricing_Table[#Data],MATCH(DS$1,Products,0),2)="Cores",IF(HostBuild[Use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2" s="59">
        <f>IFERROR(IF(FIND(DT$1,$W42)&gt;0,IF(INDEX([1]!Product_Pricing_Table[#Data],MATCH(DT$1,Products,0),2)="Cores",IF(HostBuild[Use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2" s="59">
        <f>IFERROR(IF(FIND(DU$1,$W42)&gt;0,IF(INDEX([1]!Product_Pricing_Table[#Data],MATCH(DU$1,Products,0),2)="Cores",IF(HostBuild[Use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2" s="59">
        <f>IFERROR(IF(FIND(DV$1,$W42)&gt;0,IF(INDEX([1]!Product_Pricing_Table[#Data],MATCH(DV$1,Products,0),2)="Cores",IF(HostBuild[Use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2" s="59">
        <f>IFERROR(IF(FIND(DW$1,$W42)&gt;0,IF(INDEX([1]!Product_Pricing_Table[#Data],MATCH(DW$1,Products,0),2)="Cores",IF(HostBuild[Use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2" s="59">
        <f>IFERROR(IF(FIND(DX$1,$W42)&gt;0,IF(INDEX([1]!Product_Pricing_Table[#Data],MATCH(DX$1,Products,0),2)="Cores",IF(HostBuild[Use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2" s="59">
        <f>IFERROR(IF(FIND(DY$1,$W42)&gt;0,IF(INDEX([1]!Product_Pricing_Table[#Data],MATCH(DY$1,Products,0),2)="Cores",IF(HostBuild[Use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2" s="59">
        <f>IFERROR(IF(FIND(DZ$1,$W42)&gt;0,IF(INDEX([1]!Product_Pricing_Table[#Data],MATCH(DZ$1,Products,0),2)="Cores",IF(HostBuild[Use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2" s="59">
        <f>IFERROR(IF(FIND(EA$1,$W42)&gt;0,IF(INDEX([1]!Product_Pricing_Table[#Data],MATCH(EA$1,Products,0),2)="Cores",IF(HostBuild[Use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2" s="59">
        <f>IFERROR(IF(FIND(EB$1,$W42)&gt;0,IF(INDEX([1]!Product_Pricing_Table[#Data],MATCH(EB$1,Products,0),2)="Cores",IF(HostBuild[Use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2" s="60">
        <f>IFERROR(IF(FIND(EC$1,$W42)&gt;0,IF(INDEX([1]!Product_Pricing_Table[#Data],MATCH(EC$1,Products,0),2)="Cores",IF(HostBuild[Use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2" s="59">
        <f>IFERROR(IF(FIND(ED$1,$W42)&gt;0,IF(INDEX([1]!Product_Pricing_Table[#Data],MATCH(ED$1,Products,0),2)="Cores",IF(HostBuild[Use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2" s="59">
        <f>IFERROR(IF(FIND(EE$1,$W42)&gt;0,IF(INDEX([1]!Product_Pricing_Table[#Data],MATCH(EE$1,Products,0),2)="Cores",IF(HostBuild[Use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2" s="59">
        <f>IFERROR(IF(FIND(EF$1,$W42)&gt;0,IF(INDEX([1]!Product_Pricing_Table[#Data],MATCH(EF$1,Products,0),2)="Cores",IF(HostBuild[Use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2" s="59">
        <f>IFERROR(IF(FIND(EG$1,$W42)&gt;0,IF(INDEX([1]!Product_Pricing_Table[#Data],MATCH(EG$1,Products,0),2)="Cores",IF(HostBuild[Use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2" s="59">
        <f>IFERROR(IF(FIND(EH$1,$W42)&gt;0,IF(INDEX([1]!Product_Pricing_Table[#Data],MATCH(EH$1,Products,0),2)="Cores",IF(HostBuild[Use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2" s="59">
        <f>IFERROR(IF(FIND(EI$1,$W42)&gt;0,IF(INDEX([1]!Product_Pricing_Table[#Data],MATCH(EI$1,Products,0),2)="Cores",IF(HostBuild[Use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2" s="59">
        <f>IFERROR(IF(FIND(EJ$1,$W42)&gt;0,IF(INDEX([1]!Product_Pricing_Table[#Data],MATCH(EJ$1,Products,0),2)="Cores",IF(HostBuild[Use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2" s="60">
        <f>IFERROR(IF(FIND(EK$1,$W42)&gt;0,IF(INDEX([1]!Product_Pricing_Table[#Data],MATCH(EK$1,Products,0),2)="Cores",IF(HostBuild[Use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2" s="61"/>
      <c r="EM42" s="62"/>
      <c r="EN42" s="63"/>
      <c r="EO42"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4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2" s="132">
        <f>(HostBuild[Archive
Full (GB)]+HostBuild[Archive
Incr (GB)])*Storage_DC_Dist_Tape_2014</f>
        <v>0</v>
      </c>
      <c r="ER42" s="132">
        <f>IF(ISNUMBER(HostBuild[Server HW Costs
(Monthly)]),SUM(HostBuild[[#This Row],[Server HW Costs
(Monthly)]:[Tape Costs
(Monthly)]]),0)</f>
        <v>0</v>
      </c>
      <c r="ES42" s="65">
        <f>HostBuild[Software Costs
'[Year 1']
(Monthly)]+HostBuild[Total Hardware Costs
(Monthly)]</f>
        <v>0</v>
      </c>
      <c r="ET42" s="65">
        <f>IFERROR(IF(FIND("Safenet",HostBuild[Server Model]),Safenet_PSE_PL600_Maint,0),0)+IFERROR(IF(FIND("XI52",HostBuild[Server Model]),IBM_DIA_XI52_Maint,0),0)+HostBuild[Software Costs
'[After Year 1']
(Monthly)]+HostBuild[Total Hardware Costs
(Monthly)]</f>
        <v>0</v>
      </c>
      <c r="EU42" s="66">
        <f>SUM(HostBuild[[#This Row],[Server Cost Breakdown]:[Network Cost]])</f>
        <v>0</v>
      </c>
      <c r="EV42" s="67">
        <f>IF(HostBuild[Existing Server?]="Yes - Inside this BoM",0,SUMIF(HostBuild[Alias],HostBuild[Alias],HostBuild[CPU])+SUMIF(HostBuild[Alias],HostBuild[Alias],HostBuild[Existing CPUs]))</f>
        <v>0</v>
      </c>
      <c r="EW42" s="67">
        <f>IF(HostBuild[Existing Server?]="Yes - Inside this BoM",0,SUMIF(HostBuild[Alias],HostBuild[Alias],HostBuild[Cores 
(Licensed Units)])+SUMIF(HostBuild[Alias],HostBuild[Alias],HostBuild[Existing Cores]))</f>
        <v>0</v>
      </c>
      <c r="EX42" s="67">
        <f>IF(HostBuild[Existing Server?]="Yes - Inside this BoM",0,SUMIF(HostBuild[Alias],HostBuild[Alias],HostBuild[RAM 
(GB)])+SUMIF(HostBuild[Alias],HostBuild[Alias],HostBuild[Existing RAM (GB)]))</f>
        <v>0</v>
      </c>
      <c r="EY4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2" s="66">
        <f>IF(ISBLANK(HostBuild[Server Model]),0,IF(HostBuild[Server Tier]="VMware",0,VLOOKUP(HostBuild[Server Tier],[1]!ServerTierRates[#Data],2,0))*HostBuild[CPU]*IF(AND(HostBuild[Server Type]="pSeries",HostBuild[Virtual Platform Storage Type]="Cloud-SAN"),0.25,1))</f>
        <v>0</v>
      </c>
      <c r="FD42" s="66">
        <f>0</f>
        <v>0</v>
      </c>
      <c r="FE42" s="66">
        <f>IF(HostBuild[Server Type]="VMware",HostBuild[RAM 
(GB)]*IF(ISERROR(FIND("DevCloud", HostBuild[Server Model])&gt;0),vRAM_per_vCPU_2014_Monthly,vRAM_per_vCPU_2014_Daily*30),0)</f>
        <v>0</v>
      </c>
      <c r="FF4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2" s="69">
        <f>IF(HostBuild[Server Tier]="VMware",0,IF(LEFT(HostBuild[Existing Server?],3)="Yes",0,IF(OR(HostBuild[Server Type]="Sun",HostBuild[Server Type]="pSeries"),Support_Direct_Server_Sun_per_OS_2014,IF(HostBuild[Server Type]="x86",Support_Direct_Server_x86_Wintel_per_OS_2014,0))))</f>
        <v>0</v>
      </c>
      <c r="FI4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3" spans="1:165" hidden="1">
      <c r="A43" s="122" t="s">
        <v>53</v>
      </c>
      <c r="B43" s="36"/>
      <c r="C43" s="36"/>
      <c r="D43" s="36"/>
      <c r="E43" s="37"/>
      <c r="F43" s="37"/>
      <c r="G43" s="103"/>
      <c r="H43" s="103"/>
      <c r="I43" s="38"/>
      <c r="J43" s="37"/>
      <c r="K43" s="37"/>
      <c r="L43" s="37"/>
      <c r="M43" s="103" t="e">
        <f ca="1">IF(rngIsDate(HostBuild[CTO Acceptance]),"Y","N")</f>
        <v>#NAME?</v>
      </c>
      <c r="N43" s="123" t="s">
        <v>3</v>
      </c>
      <c r="O43" s="39"/>
      <c r="P43" s="39"/>
      <c r="Q43" s="123" t="s">
        <v>52</v>
      </c>
      <c r="R43" s="126" t="str">
        <f>IF(NOT(ISBLANK(HostBuild[Env Label])),IFERROR(VLOOKUP(HostBuild[Env Label],[1]!tEnv[#Data],3,FALSE),""),"")</f>
        <v/>
      </c>
      <c r="S43" s="104"/>
      <c r="T43" s="40"/>
      <c r="U43" s="105"/>
      <c r="V43" s="123" t="s">
        <v>69</v>
      </c>
      <c r="W43" s="123" t="s">
        <v>70</v>
      </c>
      <c r="X43" s="123" t="s">
        <v>57</v>
      </c>
      <c r="Y43" s="123" t="s">
        <v>58</v>
      </c>
      <c r="Z43" s="126" t="str">
        <f>IF(NOT(ISBLANK(HostBuild[[#This Row],[Product 
(Acronym)]])),CONCATENATE(HostBuild[[#This Row],[Type]],"-",HostBuild[[#This Row],[Product 
(Acronym)]]),"")</f>
        <v>AP-ESB</v>
      </c>
      <c r="AA43" s="106"/>
      <c r="AB43" s="106" t="s">
        <v>59</v>
      </c>
      <c r="AC43" s="41"/>
      <c r="AD43" s="42"/>
      <c r="AE43" s="42"/>
      <c r="AF43" s="43" t="s">
        <v>60</v>
      </c>
      <c r="AG43" s="124"/>
      <c r="AH43" s="107"/>
      <c r="AI43" s="124" t="s">
        <v>126</v>
      </c>
      <c r="AJ43" s="115">
        <f>IF(COUNTIF(HostBuild[Alias],HostBuild[Alias]),1/COUNTIF(HostBuild[Alias],HostBuild[Alias]),0)</f>
        <v>1</v>
      </c>
      <c r="AK43" s="124"/>
      <c r="AL43" s="124"/>
      <c r="AM43" s="44" t="s">
        <v>62</v>
      </c>
      <c r="AN43" s="45" t="str">
        <f>IF(NOT(ISBLANK(HostBuild[Server Model])),VLOOKUP(HostBuild[Server Model],[1]!ServerModelsTier[#Data],2,FALSE),"")</f>
        <v>x86 Tier 3</v>
      </c>
      <c r="AO43" s="45" t="str">
        <f>IF(NOT(ISBLANK(HostBuild[Server Model])),VLOOKUP(HostBuild[Server Model],[1]!ServerModelsTier[#Data],5,FALSE),"")</f>
        <v>x86</v>
      </c>
      <c r="AP43" s="44"/>
      <c r="AQ43" s="44" t="s">
        <v>63</v>
      </c>
      <c r="AR43" s="46"/>
      <c r="AS43" s="108"/>
      <c r="AT43" s="47"/>
      <c r="AU43" s="109" t="str">
        <f>IF(IFERROR(FIND("P-Series",HostBuild[Server Tier]),0),CEILING((HostBuild[Existing CPUs]+HostBuild[CPU])*16,8),"")</f>
        <v/>
      </c>
      <c r="AV43" s="48"/>
      <c r="AW43" s="124"/>
      <c r="AX43" s="124"/>
      <c r="AY43" s="124"/>
      <c r="AZ43" s="49"/>
      <c r="BA43" s="124"/>
      <c r="BB43" s="124"/>
      <c r="BC43" s="42"/>
      <c r="BD43" s="124"/>
      <c r="BE43" s="124"/>
      <c r="BF43" s="124"/>
      <c r="BG43" s="124"/>
      <c r="BH43" s="124"/>
      <c r="BI43" s="124"/>
      <c r="BJ43" s="124"/>
      <c r="BK43"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43" s="127"/>
      <c r="BM43" s="129">
        <f>IF(ISNUMBER(HostBuild[Recommended SAN (GB)]),HostBuild[Recommended SAN (GB)])+IF(HostBuild[Additional SAN (GB)]&gt;0,CEILING(HostBuild[Additional SAN (GB)],LUN),-(CEILING(-HostBuild[Additional SAN (GB)],LUN)))</f>
        <v>0</v>
      </c>
      <c r="BN43" s="128"/>
      <c r="BO43" s="129">
        <f>HostBuild[SAN (GB)
NEEDED TODAY]+CEILING(HostBuild[SAN (GB)
RESERVED
DO NOT USE TO BUILD], LUN)</f>
        <v>0</v>
      </c>
      <c r="BP43" s="130"/>
      <c r="BQ43" s="131"/>
      <c r="BR43" s="125" t="s">
        <v>64</v>
      </c>
      <c r="BS43" s="110">
        <f>IF(HostBuild[Existing Server?]&lt;&gt;"Yes - Inside this BoM",IF(ISNUMBER(HostBuild[RAM 
(GB)]),IF(HostBuild[Existing RAM (GB)]+HostBuild[RAM 
(GB)]&gt;0,IF(HostBuild[Virtual Platform Storage Type]="NAS",110+HostBuild[Existing RAM (GB)]+HostBuild[RAM 
(GB)]*1.75,0),0),0),0)</f>
        <v>0</v>
      </c>
      <c r="BT43" s="111"/>
      <c r="BU43" s="112">
        <f>IF(ISNUMBER(HostBuild[Recommended NAS (GB)]),HostBuild[Recommended NAS (GB)])+HostBuild[Additional NAS (GB)]</f>
        <v>0</v>
      </c>
      <c r="BV43" s="50"/>
      <c r="BW43" s="50"/>
      <c r="BX43" s="133">
        <f>IFERROR((HostBuild[SAN (GB)
End-State
DO NOT USE TO BUILD]+HostBuild[SAN (GB) Shared])*25%,"")</f>
        <v>0</v>
      </c>
      <c r="BY43" s="113">
        <f>IFERROR(HostBuild[Archive
Full (GB)]*15%,"")</f>
        <v>0</v>
      </c>
      <c r="BZ43" s="51"/>
      <c r="CA43" s="51"/>
      <c r="CB43" s="52"/>
      <c r="CC43" s="53"/>
      <c r="CD43" s="52"/>
      <c r="CE43" s="54"/>
      <c r="CF43" s="128"/>
      <c r="CG43" s="114"/>
      <c r="CH43" s="55"/>
      <c r="CI43" s="56"/>
      <c r="CJ43" s="57" t="s">
        <v>65</v>
      </c>
      <c r="CK43" s="58"/>
      <c r="CL43" s="59">
        <f>IFERROR(IF(FIND(CL$1,$W43)&gt;0,IF(INDEX([1]!Product_Pricing_Table[#Data],MATCH(CL$1,Products,0),2)="Cores",IF(HostBuild[Use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3" s="59">
        <f>IFERROR(IF(FIND(CM$1,$W43)&gt;0,IF(INDEX([1]!Product_Pricing_Table[#Data],MATCH(CM$1,Products,0),2)="Cores",IF(HostBuild[Use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3" s="59">
        <f>IFERROR(IF(FIND(CN$1,$W43)&gt;0,IF(INDEX([1]!Product_Pricing_Table[#Data],MATCH(CN$1,Products,0),2)="Cores",IF(HostBuild[Use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3" s="59">
        <f>IFERROR(IF(FIND(CO$1,$W43)&gt;0,IF(INDEX([1]!Product_Pricing_Table[#Data],MATCH(CO$1,Products,0),2)="Cores",IF(HostBuild[Use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3" s="59">
        <f>IFERROR(IF(FIND(CP$1,$W43)&gt;0,IF(INDEX([1]!Product_Pricing_Table[#Data],MATCH(CP$1,Products,0),2)="Cores",IF(HostBuild[Use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3" s="59">
        <f>IFERROR(IF(FIND(CQ$1,$W43)&gt;0,IF(INDEX([1]!Product_Pricing_Table[#Data],MATCH(CQ$1,Products,0),2)="Cores",IF(HostBuild[Use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3" s="59">
        <f>IFERROR(IF(FIND(CR$1,$W43)&gt;0,IF(INDEX([1]!Product_Pricing_Table[#Data],MATCH(CR$1,Products,0),2)="Cores",IF(HostBuild[Use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3" s="59">
        <f>IFERROR(IF(FIND(CS$1,$W43)&gt;0,IF(INDEX([1]!Product_Pricing_Table[#Data],MATCH(CS$1,Products,0),2)="Cores",IF(HostBuild[Use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3" s="59">
        <f>IFERROR(IF(FIND(CT$1,$W43)&gt;0,IF(INDEX([1]!Product_Pricing_Table[#Data],MATCH(CT$1,Products,0),2)="Cores",IF(HostBuild[Use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3" s="59">
        <f>IFERROR(IF(FIND(CU$1,$W43)&gt;0,IF(INDEX([1]!Product_Pricing_Table[#Data],MATCH(CU$1,Products,0),2)="Cores",IF(HostBuild[Use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3" s="59">
        <f>IFERROR(IF(FIND(CV$1,$W43)&gt;0,IF(INDEX([1]!Product_Pricing_Table[#Data],MATCH(CV$1,Products,0),2)="Cores",IF(HostBuild[Use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3" s="59">
        <f>IFERROR(IF(FIND(CW$1,$W43)&gt;0,IF(INDEX([1]!Product_Pricing_Table[#Data],MATCH(CW$1,Products,0),2)="Cores",IF(HostBuild[Use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3" s="59">
        <f>IFERROR(IF(FIND(CX$1,$W43)&gt;0,IF(INDEX([1]!Product_Pricing_Table[#Data],MATCH(CX$1,Products,0),2)="Cores",IF(HostBuild[Use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3" s="59">
        <f>IFERROR(IF(FIND(CY$1,$W43)&gt;0,IF(INDEX([1]!Product_Pricing_Table[#Data],MATCH(CY$1,Products,0),2)="Cores",IF(HostBuild[Use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3" s="59">
        <f>IFERROR(IF(FIND(CZ$1,$W43)&gt;0,IF(INDEX([1]!Product_Pricing_Table[#Data],MATCH(CZ$1,Products,0),2)="Cores",IF(HostBuild[Use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3" s="59">
        <f>IFERROR(IF(FIND(DA$1,$W43)&gt;0,IF(INDEX([1]!Product_Pricing_Table[#Data],MATCH(DA$1,Products,0),2)="Cores",IF(HostBuild[Use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3" s="59">
        <f>IFERROR(IF(FIND(DB$1,$W43)&gt;0,IF(INDEX([1]!Product_Pricing_Table[#Data],MATCH(DB$1,Products,0),2)="Cores",IF(HostBuild[Use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3" s="59">
        <f>IFERROR(IF(FIND(DC$1,$W43)&gt;0,IF(INDEX([1]!Product_Pricing_Table[#Data],MATCH(DC$1,Products,0),2)="Cores",IF(HostBuild[Use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3" s="59">
        <f>IFERROR(IF(FIND(DD$1,$W43)&gt;0,IF(INDEX([1]!Product_Pricing_Table[#Data],MATCH(DD$1,Products,0),2)="Cores",IF(HostBuild[Use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3" s="59">
        <f>IFERROR(IF(FIND(DE$1,$W43)&gt;0,IF(INDEX([1]!Product_Pricing_Table[#Data],MATCH(DE$1,Products,0),2)="Cores",IF(HostBuild[Use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3" s="60">
        <f>IFERROR(IF(FIND(DF$1,$W43)&gt;0,IF(INDEX([1]!Product_Pricing_Table[#Data],MATCH(DF$1,Products,0),2)="Cores",IF(HostBuild[Use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3" s="60">
        <f>IFERROR(IF(FIND(DG$1,$W43)&gt;0,IF(INDEX([1]!Product_Pricing_Table[#Data],MATCH(DG$1,Products,0),2)="Cores",IF(HostBuild[Use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3" s="59">
        <f>IFERROR(IF(FIND(DH$1,$W43)&gt;0,IF(INDEX([1]!Product_Pricing_Table[#Data],MATCH(DH$1,Products,0),2)="Cores",IF(HostBuild[Use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3" s="60">
        <f>IFERROR(IF(FIND(DI$1,$W43)&gt;0,IF(INDEX([1]!Product_Pricing_Table[#Data],MATCH(DI$1,Products,0),2)="Cores",IF(HostBuild[Use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3" s="59">
        <f>IFERROR(IF(FIND(DJ$1,$W43)&gt;0,IF(INDEX([1]!Product_Pricing_Table[#Data],MATCH(DJ$1,Products,0),2)="Cores",IF(HostBuild[Use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3" s="59">
        <f>IFERROR(IF(FIND(DK$1,$W43)&gt;0,IF(INDEX([1]!Product_Pricing_Table[#Data],MATCH(DK$1,Products,0),2)="Cores",IF(HostBuild[Use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3" s="59">
        <f>IFERROR(IF(FIND(DL$1,$W43)&gt;0,IF(INDEX([1]!Product_Pricing_Table[#Data],MATCH(DL$1,Products,0),2)="Cores",IF(HostBuild[Use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3" s="59">
        <f>IFERROR(IF(FIND(DM$1,$W43)&gt;0,IF(INDEX([1]!Product_Pricing_Table[#Data],MATCH(DM$1,Products,0),2)="Cores",IF(HostBuild[Use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3" s="59">
        <f>IFERROR(IF(FIND(DN$1,$W43)&gt;0,IF(INDEX([1]!Product_Pricing_Table[#Data],MATCH(DN$1,Products,0),2)="Cores",IF(HostBuild[Use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3" s="59">
        <f>IFERROR(IF(FIND(DO$1,$W43)&gt;0,IF(INDEX([1]!Product_Pricing_Table[#Data],MATCH(DO$1,Products,0),2)="Cores",IF(HostBuild[Use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3" s="59">
        <f>IFERROR(IF(FIND(DP$1,$W43)&gt;0,IF(INDEX([1]!Product_Pricing_Table[#Data],MATCH(DP$1,Products,0),2)="Cores",IF(HostBuild[Use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3" s="59">
        <f>IFERROR(IF(FIND(DQ$1,$W43)&gt;0,IF(INDEX([1]!Product_Pricing_Table[#Data],MATCH(DQ$1,Products,0),2)="Cores",IF(HostBuild[Use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3" s="59">
        <f>IFERROR(IF(FIND(DR$1,$W43)&gt;0,IF(INDEX([1]!Product_Pricing_Table[#Data],MATCH(DR$1,Products,0),2)="Cores",IF(HostBuild[Use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3" s="59">
        <f>IFERROR(IF(FIND(DS$1,$W43)&gt;0,IF(INDEX([1]!Product_Pricing_Table[#Data],MATCH(DS$1,Products,0),2)="Cores",IF(HostBuild[Use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3" s="59">
        <f>IFERROR(IF(FIND(DT$1,$W43)&gt;0,IF(INDEX([1]!Product_Pricing_Table[#Data],MATCH(DT$1,Products,0),2)="Cores",IF(HostBuild[Use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3" s="59">
        <f>IFERROR(IF(FIND(DU$1,$W43)&gt;0,IF(INDEX([1]!Product_Pricing_Table[#Data],MATCH(DU$1,Products,0),2)="Cores",IF(HostBuild[Use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3" s="59">
        <f>IFERROR(IF(FIND(DV$1,$W43)&gt;0,IF(INDEX([1]!Product_Pricing_Table[#Data],MATCH(DV$1,Products,0),2)="Cores",IF(HostBuild[Use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3" s="59">
        <f>IFERROR(IF(FIND(DW$1,$W43)&gt;0,IF(INDEX([1]!Product_Pricing_Table[#Data],MATCH(DW$1,Products,0),2)="Cores",IF(HostBuild[Use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3" s="59">
        <f>IFERROR(IF(FIND(DX$1,$W43)&gt;0,IF(INDEX([1]!Product_Pricing_Table[#Data],MATCH(DX$1,Products,0),2)="Cores",IF(HostBuild[Use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3" s="59">
        <f>IFERROR(IF(FIND(DY$1,$W43)&gt;0,IF(INDEX([1]!Product_Pricing_Table[#Data],MATCH(DY$1,Products,0),2)="Cores",IF(HostBuild[Use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3" s="59">
        <f>IFERROR(IF(FIND(DZ$1,$W43)&gt;0,IF(INDEX([1]!Product_Pricing_Table[#Data],MATCH(DZ$1,Products,0),2)="Cores",IF(HostBuild[Use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3" s="59">
        <f>IFERROR(IF(FIND(EA$1,$W43)&gt;0,IF(INDEX([1]!Product_Pricing_Table[#Data],MATCH(EA$1,Products,0),2)="Cores",IF(HostBuild[Use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3" s="59">
        <f>IFERROR(IF(FIND(EB$1,$W43)&gt;0,IF(INDEX([1]!Product_Pricing_Table[#Data],MATCH(EB$1,Products,0),2)="Cores",IF(HostBuild[Use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3" s="60">
        <f>IFERROR(IF(FIND(EC$1,$W43)&gt;0,IF(INDEX([1]!Product_Pricing_Table[#Data],MATCH(EC$1,Products,0),2)="Cores",IF(HostBuild[Use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3" s="59">
        <f>IFERROR(IF(FIND(ED$1,$W43)&gt;0,IF(INDEX([1]!Product_Pricing_Table[#Data],MATCH(ED$1,Products,0),2)="Cores",IF(HostBuild[Use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3" s="59">
        <f>IFERROR(IF(FIND(EE$1,$W43)&gt;0,IF(INDEX([1]!Product_Pricing_Table[#Data],MATCH(EE$1,Products,0),2)="Cores",IF(HostBuild[Use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3" s="59">
        <f>IFERROR(IF(FIND(EF$1,$W43)&gt;0,IF(INDEX([1]!Product_Pricing_Table[#Data],MATCH(EF$1,Products,0),2)="Cores",IF(HostBuild[Use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3" s="59">
        <f>IFERROR(IF(FIND(EG$1,$W43)&gt;0,IF(INDEX([1]!Product_Pricing_Table[#Data],MATCH(EG$1,Products,0),2)="Cores",IF(HostBuild[Use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3" s="59">
        <f>IFERROR(IF(FIND(EH$1,$W43)&gt;0,IF(INDEX([1]!Product_Pricing_Table[#Data],MATCH(EH$1,Products,0),2)="Cores",IF(HostBuild[Use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3" s="59">
        <f>IFERROR(IF(FIND(EI$1,$W43)&gt;0,IF(INDEX([1]!Product_Pricing_Table[#Data],MATCH(EI$1,Products,0),2)="Cores",IF(HostBuild[Use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3" s="59">
        <f>IFERROR(IF(FIND(EJ$1,$W43)&gt;0,IF(INDEX([1]!Product_Pricing_Table[#Data],MATCH(EJ$1,Products,0),2)="Cores",IF(HostBuild[Use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3" s="60">
        <f>IFERROR(IF(FIND(EK$1,$W43)&gt;0,IF(INDEX([1]!Product_Pricing_Table[#Data],MATCH(EK$1,Products,0),2)="Cores",IF(HostBuild[Use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3" s="61"/>
      <c r="EM43" s="62"/>
      <c r="EN43" s="63"/>
      <c r="EO43"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4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3" s="132">
        <f>(HostBuild[Archive
Full (GB)]+HostBuild[Archive
Incr (GB)])*Storage_DC_Dist_Tape_2014</f>
        <v>0</v>
      </c>
      <c r="ER43" s="132">
        <f>IF(ISNUMBER(HostBuild[Server HW Costs
(Monthly)]),SUM(HostBuild[[#This Row],[Server HW Costs
(Monthly)]:[Tape Costs
(Monthly)]]),0)</f>
        <v>0</v>
      </c>
      <c r="ES43" s="65">
        <f>HostBuild[Software Costs
'[Year 1']
(Monthly)]+HostBuild[Total Hardware Costs
(Monthly)]</f>
        <v>0</v>
      </c>
      <c r="ET43" s="65">
        <f>IFERROR(IF(FIND("Safenet",HostBuild[Server Model]),Safenet_PSE_PL600_Maint,0),0)+IFERROR(IF(FIND("XI52",HostBuild[Server Model]),IBM_DIA_XI52_Maint,0),0)+HostBuild[Software Costs
'[After Year 1']
(Monthly)]+HostBuild[Total Hardware Costs
(Monthly)]</f>
        <v>0</v>
      </c>
      <c r="EU43" s="66">
        <f>SUM(HostBuild[[#This Row],[Server Cost Breakdown]:[Network Cost]])</f>
        <v>0</v>
      </c>
      <c r="EV43" s="67">
        <f>IF(HostBuild[Existing Server?]="Yes - Inside this BoM",0,SUMIF(HostBuild[Alias],HostBuild[Alias],HostBuild[CPU])+SUMIF(HostBuild[Alias],HostBuild[Alias],HostBuild[Existing CPUs]))</f>
        <v>0</v>
      </c>
      <c r="EW43" s="67">
        <f>IF(HostBuild[Existing Server?]="Yes - Inside this BoM",0,SUMIF(HostBuild[Alias],HostBuild[Alias],HostBuild[Cores 
(Licensed Units)])+SUMIF(HostBuild[Alias],HostBuild[Alias],HostBuild[Existing Cores]))</f>
        <v>0</v>
      </c>
      <c r="EX43" s="67">
        <f>IF(HostBuild[Existing Server?]="Yes - Inside this BoM",0,SUMIF(HostBuild[Alias],HostBuild[Alias],HostBuild[RAM 
(GB)])+SUMIF(HostBuild[Alias],HostBuild[Alias],HostBuild[Existing RAM (GB)]))</f>
        <v>0</v>
      </c>
      <c r="EY4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3" s="66">
        <f>IF(ISBLANK(HostBuild[Server Model]),0,IF(HostBuild[Server Tier]="VMware",0,VLOOKUP(HostBuild[Server Tier],[1]!ServerTierRates[#Data],2,0))*HostBuild[CPU]*IF(AND(HostBuild[Server Type]="pSeries",HostBuild[Virtual Platform Storage Type]="Cloud-SAN"),0.25,1))</f>
        <v>0</v>
      </c>
      <c r="FD43" s="66">
        <f>0</f>
        <v>0</v>
      </c>
      <c r="FE43" s="66">
        <f>IF(HostBuild[Server Type]="VMware",HostBuild[RAM 
(GB)]*IF(ISERROR(FIND("DevCloud", HostBuild[Server Model])&gt;0),vRAM_per_vCPU_2014_Monthly,vRAM_per_vCPU_2014_Daily*30),0)</f>
        <v>0</v>
      </c>
      <c r="FF4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3" s="69">
        <f>IF(HostBuild[Server Tier]="VMware",0,IF(LEFT(HostBuild[Existing Server?],3)="Yes",0,IF(OR(HostBuild[Server Type]="Sun",HostBuild[Server Type]="pSeries"),Support_Direct_Server_Sun_per_OS_2014,IF(HostBuild[Server Type]="x86",Support_Direct_Server_x86_Wintel_per_OS_2014,0))))</f>
        <v>0</v>
      </c>
      <c r="FI4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4" spans="1:165" hidden="1">
      <c r="A44" s="122" t="s">
        <v>53</v>
      </c>
      <c r="B44" s="36"/>
      <c r="C44" s="36"/>
      <c r="D44" s="36"/>
      <c r="E44" s="37"/>
      <c r="F44" s="37"/>
      <c r="G44" s="103"/>
      <c r="H44" s="103"/>
      <c r="I44" s="38"/>
      <c r="J44" s="37"/>
      <c r="K44" s="37"/>
      <c r="L44" s="37"/>
      <c r="M44" s="103" t="e">
        <f ca="1">IF(rngIsDate(HostBuild[CTO Acceptance]),"Y","N")</f>
        <v>#NAME?</v>
      </c>
      <c r="N44" s="123" t="s">
        <v>3</v>
      </c>
      <c r="O44" s="39"/>
      <c r="P44" s="39"/>
      <c r="Q44" s="123" t="s">
        <v>52</v>
      </c>
      <c r="R44" s="126" t="str">
        <f>IF(NOT(ISBLANK(HostBuild[Env Label])),IFERROR(VLOOKUP(HostBuild[Env Label],[1]!tEnv[#Data],3,FALSE),""),"")</f>
        <v/>
      </c>
      <c r="S44" s="104"/>
      <c r="T44" s="40"/>
      <c r="U44" s="105"/>
      <c r="V44" s="123" t="s">
        <v>69</v>
      </c>
      <c r="W44" s="123" t="s">
        <v>70</v>
      </c>
      <c r="X44" s="123" t="s">
        <v>57</v>
      </c>
      <c r="Y44" s="123" t="s">
        <v>58</v>
      </c>
      <c r="Z44" s="126" t="str">
        <f>IF(NOT(ISBLANK(HostBuild[[#This Row],[Product 
(Acronym)]])),CONCATENATE(HostBuild[[#This Row],[Type]],"-",HostBuild[[#This Row],[Product 
(Acronym)]]),"")</f>
        <v>AP-ESB</v>
      </c>
      <c r="AA44" s="106"/>
      <c r="AB44" s="106" t="s">
        <v>59</v>
      </c>
      <c r="AC44" s="41"/>
      <c r="AD44" s="42"/>
      <c r="AE44" s="42"/>
      <c r="AF44" s="43" t="s">
        <v>60</v>
      </c>
      <c r="AG44" s="124"/>
      <c r="AH44" s="107"/>
      <c r="AI44" s="124" t="s">
        <v>127</v>
      </c>
      <c r="AJ44" s="115">
        <f>IF(COUNTIF(HostBuild[Alias],HostBuild[Alias]),1/COUNTIF(HostBuild[Alias],HostBuild[Alias]),0)</f>
        <v>1</v>
      </c>
      <c r="AK44" s="124"/>
      <c r="AL44" s="124"/>
      <c r="AM44" s="44" t="s">
        <v>62</v>
      </c>
      <c r="AN44" s="45" t="str">
        <f>IF(NOT(ISBLANK(HostBuild[Server Model])),VLOOKUP(HostBuild[Server Model],[1]!ServerModelsTier[#Data],2,FALSE),"")</f>
        <v>x86 Tier 3</v>
      </c>
      <c r="AO44" s="45" t="str">
        <f>IF(NOT(ISBLANK(HostBuild[Server Model])),VLOOKUP(HostBuild[Server Model],[1]!ServerModelsTier[#Data],5,FALSE),"")</f>
        <v>x86</v>
      </c>
      <c r="AP44" s="44"/>
      <c r="AQ44" s="44" t="s">
        <v>63</v>
      </c>
      <c r="AR44" s="46"/>
      <c r="AS44" s="108"/>
      <c r="AT44" s="47"/>
      <c r="AU44" s="109" t="str">
        <f>IF(IFERROR(FIND("P-Series",HostBuild[Server Tier]),0),CEILING((HostBuild[Existing CPUs]+HostBuild[CPU])*16,8),"")</f>
        <v/>
      </c>
      <c r="AV44" s="48"/>
      <c r="AW44" s="124"/>
      <c r="AX44" s="124"/>
      <c r="AY44" s="124"/>
      <c r="AZ44" s="49"/>
      <c r="BA44" s="124"/>
      <c r="BB44" s="124"/>
      <c r="BC44" s="42"/>
      <c r="BD44" s="124"/>
      <c r="BE44" s="124"/>
      <c r="BF44" s="124"/>
      <c r="BG44" s="124"/>
      <c r="BH44" s="124"/>
      <c r="BI44" s="124"/>
      <c r="BJ44" s="124"/>
      <c r="BK44"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44" s="127"/>
      <c r="BM44" s="129">
        <f>IF(ISNUMBER(HostBuild[Recommended SAN (GB)]),HostBuild[Recommended SAN (GB)])+IF(HostBuild[Additional SAN (GB)]&gt;0,CEILING(HostBuild[Additional SAN (GB)],LUN),-(CEILING(-HostBuild[Additional SAN (GB)],LUN)))</f>
        <v>0</v>
      </c>
      <c r="BN44" s="128"/>
      <c r="BO44" s="129">
        <f>HostBuild[SAN (GB)
NEEDED TODAY]+CEILING(HostBuild[SAN (GB)
RESERVED
DO NOT USE TO BUILD], LUN)</f>
        <v>0</v>
      </c>
      <c r="BP44" s="130"/>
      <c r="BQ44" s="131"/>
      <c r="BR44" s="125" t="s">
        <v>64</v>
      </c>
      <c r="BS44" s="110">
        <f>IF(HostBuild[Existing Server?]&lt;&gt;"Yes - Inside this BoM",IF(ISNUMBER(HostBuild[RAM 
(GB)]),IF(HostBuild[Existing RAM (GB)]+HostBuild[RAM 
(GB)]&gt;0,IF(HostBuild[Virtual Platform Storage Type]="NAS",110+HostBuild[Existing RAM (GB)]+HostBuild[RAM 
(GB)]*1.75,0),0),0),0)</f>
        <v>0</v>
      </c>
      <c r="BT44" s="111"/>
      <c r="BU44" s="112">
        <f>IF(ISNUMBER(HostBuild[Recommended NAS (GB)]),HostBuild[Recommended NAS (GB)])+HostBuild[Additional NAS (GB)]</f>
        <v>0</v>
      </c>
      <c r="BV44" s="50"/>
      <c r="BW44" s="50"/>
      <c r="BX44" s="133">
        <f>IFERROR((HostBuild[SAN (GB)
End-State
DO NOT USE TO BUILD]+HostBuild[SAN (GB) Shared])*25%,"")</f>
        <v>0</v>
      </c>
      <c r="BY44" s="113">
        <f>IFERROR(HostBuild[Archive
Full (GB)]*15%,"")</f>
        <v>0</v>
      </c>
      <c r="BZ44" s="51"/>
      <c r="CA44" s="51"/>
      <c r="CB44" s="52"/>
      <c r="CC44" s="53"/>
      <c r="CD44" s="52"/>
      <c r="CE44" s="54"/>
      <c r="CF44" s="128"/>
      <c r="CG44" s="114"/>
      <c r="CH44" s="55"/>
      <c r="CI44" s="56"/>
      <c r="CJ44" s="57" t="s">
        <v>65</v>
      </c>
      <c r="CK44" s="58"/>
      <c r="CL44" s="59">
        <f>IFERROR(IF(FIND(CL$1,$W44)&gt;0,IF(INDEX([1]!Product_Pricing_Table[#Data],MATCH(CL$1,Products,0),2)="Cores",IF(HostBuild[Use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4" s="59">
        <f>IFERROR(IF(FIND(CM$1,$W44)&gt;0,IF(INDEX([1]!Product_Pricing_Table[#Data],MATCH(CM$1,Products,0),2)="Cores",IF(HostBuild[Use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4" s="59">
        <f>IFERROR(IF(FIND(CN$1,$W44)&gt;0,IF(INDEX([1]!Product_Pricing_Table[#Data],MATCH(CN$1,Products,0),2)="Cores",IF(HostBuild[Use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4" s="59">
        <f>IFERROR(IF(FIND(CO$1,$W44)&gt;0,IF(INDEX([1]!Product_Pricing_Table[#Data],MATCH(CO$1,Products,0),2)="Cores",IF(HostBuild[Use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4" s="59">
        <f>IFERROR(IF(FIND(CP$1,$W44)&gt;0,IF(INDEX([1]!Product_Pricing_Table[#Data],MATCH(CP$1,Products,0),2)="Cores",IF(HostBuild[Use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4" s="59">
        <f>IFERROR(IF(FIND(CQ$1,$W44)&gt;0,IF(INDEX([1]!Product_Pricing_Table[#Data],MATCH(CQ$1,Products,0),2)="Cores",IF(HostBuild[Use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4" s="59">
        <f>IFERROR(IF(FIND(CR$1,$W44)&gt;0,IF(INDEX([1]!Product_Pricing_Table[#Data],MATCH(CR$1,Products,0),2)="Cores",IF(HostBuild[Use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4" s="59">
        <f>IFERROR(IF(FIND(CS$1,$W44)&gt;0,IF(INDEX([1]!Product_Pricing_Table[#Data],MATCH(CS$1,Products,0),2)="Cores",IF(HostBuild[Use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4" s="59">
        <f>IFERROR(IF(FIND(CT$1,$W44)&gt;0,IF(INDEX([1]!Product_Pricing_Table[#Data],MATCH(CT$1,Products,0),2)="Cores",IF(HostBuild[Use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4" s="59">
        <f>IFERROR(IF(FIND(CU$1,$W44)&gt;0,IF(INDEX([1]!Product_Pricing_Table[#Data],MATCH(CU$1,Products,0),2)="Cores",IF(HostBuild[Use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4" s="59">
        <f>IFERROR(IF(FIND(CV$1,$W44)&gt;0,IF(INDEX([1]!Product_Pricing_Table[#Data],MATCH(CV$1,Products,0),2)="Cores",IF(HostBuild[Use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4" s="59">
        <f>IFERROR(IF(FIND(CW$1,$W44)&gt;0,IF(INDEX([1]!Product_Pricing_Table[#Data],MATCH(CW$1,Products,0),2)="Cores",IF(HostBuild[Use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4" s="59">
        <f>IFERROR(IF(FIND(CX$1,$W44)&gt;0,IF(INDEX([1]!Product_Pricing_Table[#Data],MATCH(CX$1,Products,0),2)="Cores",IF(HostBuild[Use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4" s="59">
        <f>IFERROR(IF(FIND(CY$1,$W44)&gt;0,IF(INDEX([1]!Product_Pricing_Table[#Data],MATCH(CY$1,Products,0),2)="Cores",IF(HostBuild[Use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4" s="59">
        <f>IFERROR(IF(FIND(CZ$1,$W44)&gt;0,IF(INDEX([1]!Product_Pricing_Table[#Data],MATCH(CZ$1,Products,0),2)="Cores",IF(HostBuild[Use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4" s="59">
        <f>IFERROR(IF(FIND(DA$1,$W44)&gt;0,IF(INDEX([1]!Product_Pricing_Table[#Data],MATCH(DA$1,Products,0),2)="Cores",IF(HostBuild[Use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4" s="59">
        <f>IFERROR(IF(FIND(DB$1,$W44)&gt;0,IF(INDEX([1]!Product_Pricing_Table[#Data],MATCH(DB$1,Products,0),2)="Cores",IF(HostBuild[Use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4" s="59">
        <f>IFERROR(IF(FIND(DC$1,$W44)&gt;0,IF(INDEX([1]!Product_Pricing_Table[#Data],MATCH(DC$1,Products,0),2)="Cores",IF(HostBuild[Use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4" s="59">
        <f>IFERROR(IF(FIND(DD$1,$W44)&gt;0,IF(INDEX([1]!Product_Pricing_Table[#Data],MATCH(DD$1,Products,0),2)="Cores",IF(HostBuild[Use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4" s="59">
        <f>IFERROR(IF(FIND(DE$1,$W44)&gt;0,IF(INDEX([1]!Product_Pricing_Table[#Data],MATCH(DE$1,Products,0),2)="Cores",IF(HostBuild[Use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4" s="60">
        <f>IFERROR(IF(FIND(DF$1,$W44)&gt;0,IF(INDEX([1]!Product_Pricing_Table[#Data],MATCH(DF$1,Products,0),2)="Cores",IF(HostBuild[Use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4" s="60">
        <f>IFERROR(IF(FIND(DG$1,$W44)&gt;0,IF(INDEX([1]!Product_Pricing_Table[#Data],MATCH(DG$1,Products,0),2)="Cores",IF(HostBuild[Use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4" s="59">
        <f>IFERROR(IF(FIND(DH$1,$W44)&gt;0,IF(INDEX([1]!Product_Pricing_Table[#Data],MATCH(DH$1,Products,0),2)="Cores",IF(HostBuild[Use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4" s="60">
        <f>IFERROR(IF(FIND(DI$1,$W44)&gt;0,IF(INDEX([1]!Product_Pricing_Table[#Data],MATCH(DI$1,Products,0),2)="Cores",IF(HostBuild[Use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4" s="59">
        <f>IFERROR(IF(FIND(DJ$1,$W44)&gt;0,IF(INDEX([1]!Product_Pricing_Table[#Data],MATCH(DJ$1,Products,0),2)="Cores",IF(HostBuild[Use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4" s="59">
        <f>IFERROR(IF(FIND(DK$1,$W44)&gt;0,IF(INDEX([1]!Product_Pricing_Table[#Data],MATCH(DK$1,Products,0),2)="Cores",IF(HostBuild[Use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4" s="59">
        <f>IFERROR(IF(FIND(DL$1,$W44)&gt;0,IF(INDEX([1]!Product_Pricing_Table[#Data],MATCH(DL$1,Products,0),2)="Cores",IF(HostBuild[Use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4" s="59">
        <f>IFERROR(IF(FIND(DM$1,$W44)&gt;0,IF(INDEX([1]!Product_Pricing_Table[#Data],MATCH(DM$1,Products,0),2)="Cores",IF(HostBuild[Use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4" s="59">
        <f>IFERROR(IF(FIND(DN$1,$W44)&gt;0,IF(INDEX([1]!Product_Pricing_Table[#Data],MATCH(DN$1,Products,0),2)="Cores",IF(HostBuild[Use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4" s="59">
        <f>IFERROR(IF(FIND(DO$1,$W44)&gt;0,IF(INDEX([1]!Product_Pricing_Table[#Data],MATCH(DO$1,Products,0),2)="Cores",IF(HostBuild[Use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4" s="59">
        <f>IFERROR(IF(FIND(DP$1,$W44)&gt;0,IF(INDEX([1]!Product_Pricing_Table[#Data],MATCH(DP$1,Products,0),2)="Cores",IF(HostBuild[Use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4" s="59">
        <f>IFERROR(IF(FIND(DQ$1,$W44)&gt;0,IF(INDEX([1]!Product_Pricing_Table[#Data],MATCH(DQ$1,Products,0),2)="Cores",IF(HostBuild[Use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4" s="59">
        <f>IFERROR(IF(FIND(DR$1,$W44)&gt;0,IF(INDEX([1]!Product_Pricing_Table[#Data],MATCH(DR$1,Products,0),2)="Cores",IF(HostBuild[Use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4" s="59">
        <f>IFERROR(IF(FIND(DS$1,$W44)&gt;0,IF(INDEX([1]!Product_Pricing_Table[#Data],MATCH(DS$1,Products,0),2)="Cores",IF(HostBuild[Use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4" s="59">
        <f>IFERROR(IF(FIND(DT$1,$W44)&gt;0,IF(INDEX([1]!Product_Pricing_Table[#Data],MATCH(DT$1,Products,0),2)="Cores",IF(HostBuild[Use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4" s="59">
        <f>IFERROR(IF(FIND(DU$1,$W44)&gt;0,IF(INDEX([1]!Product_Pricing_Table[#Data],MATCH(DU$1,Products,0),2)="Cores",IF(HostBuild[Use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4" s="59">
        <f>IFERROR(IF(FIND(DV$1,$W44)&gt;0,IF(INDEX([1]!Product_Pricing_Table[#Data],MATCH(DV$1,Products,0),2)="Cores",IF(HostBuild[Use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4" s="59">
        <f>IFERROR(IF(FIND(DW$1,$W44)&gt;0,IF(INDEX([1]!Product_Pricing_Table[#Data],MATCH(DW$1,Products,0),2)="Cores",IF(HostBuild[Use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4" s="59">
        <f>IFERROR(IF(FIND(DX$1,$W44)&gt;0,IF(INDEX([1]!Product_Pricing_Table[#Data],MATCH(DX$1,Products,0),2)="Cores",IF(HostBuild[Use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4" s="59">
        <f>IFERROR(IF(FIND(DY$1,$W44)&gt;0,IF(INDEX([1]!Product_Pricing_Table[#Data],MATCH(DY$1,Products,0),2)="Cores",IF(HostBuild[Use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4" s="59">
        <f>IFERROR(IF(FIND(DZ$1,$W44)&gt;0,IF(INDEX([1]!Product_Pricing_Table[#Data],MATCH(DZ$1,Products,0),2)="Cores",IF(HostBuild[Use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4" s="59">
        <f>IFERROR(IF(FIND(EA$1,$W44)&gt;0,IF(INDEX([1]!Product_Pricing_Table[#Data],MATCH(EA$1,Products,0),2)="Cores",IF(HostBuild[Use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4" s="59">
        <f>IFERROR(IF(FIND(EB$1,$W44)&gt;0,IF(INDEX([1]!Product_Pricing_Table[#Data],MATCH(EB$1,Products,0),2)="Cores",IF(HostBuild[Use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4" s="60">
        <f>IFERROR(IF(FIND(EC$1,$W44)&gt;0,IF(INDEX([1]!Product_Pricing_Table[#Data],MATCH(EC$1,Products,0),2)="Cores",IF(HostBuild[Use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4" s="59">
        <f>IFERROR(IF(FIND(ED$1,$W44)&gt;0,IF(INDEX([1]!Product_Pricing_Table[#Data],MATCH(ED$1,Products,0),2)="Cores",IF(HostBuild[Use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4" s="59">
        <f>IFERROR(IF(FIND(EE$1,$W44)&gt;0,IF(INDEX([1]!Product_Pricing_Table[#Data],MATCH(EE$1,Products,0),2)="Cores",IF(HostBuild[Use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4" s="59">
        <f>IFERROR(IF(FIND(EF$1,$W44)&gt;0,IF(INDEX([1]!Product_Pricing_Table[#Data],MATCH(EF$1,Products,0),2)="Cores",IF(HostBuild[Use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4" s="59">
        <f>IFERROR(IF(FIND(EG$1,$W44)&gt;0,IF(INDEX([1]!Product_Pricing_Table[#Data],MATCH(EG$1,Products,0),2)="Cores",IF(HostBuild[Use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4" s="59">
        <f>IFERROR(IF(FIND(EH$1,$W44)&gt;0,IF(INDEX([1]!Product_Pricing_Table[#Data],MATCH(EH$1,Products,0),2)="Cores",IF(HostBuild[Use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4" s="59">
        <f>IFERROR(IF(FIND(EI$1,$W44)&gt;0,IF(INDEX([1]!Product_Pricing_Table[#Data],MATCH(EI$1,Products,0),2)="Cores",IF(HostBuild[Use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4" s="59">
        <f>IFERROR(IF(FIND(EJ$1,$W44)&gt;0,IF(INDEX([1]!Product_Pricing_Table[#Data],MATCH(EJ$1,Products,0),2)="Cores",IF(HostBuild[Use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4" s="60">
        <f>IFERROR(IF(FIND(EK$1,$W44)&gt;0,IF(INDEX([1]!Product_Pricing_Table[#Data],MATCH(EK$1,Products,0),2)="Cores",IF(HostBuild[Use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4" s="61"/>
      <c r="EM44" s="62"/>
      <c r="EN44" s="63"/>
      <c r="EO44"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4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4" s="132">
        <f>(HostBuild[Archive
Full (GB)]+HostBuild[Archive
Incr (GB)])*Storage_DC_Dist_Tape_2014</f>
        <v>0</v>
      </c>
      <c r="ER44" s="132">
        <f>IF(ISNUMBER(HostBuild[Server HW Costs
(Monthly)]),SUM(HostBuild[[#This Row],[Server HW Costs
(Monthly)]:[Tape Costs
(Monthly)]]),0)</f>
        <v>0</v>
      </c>
      <c r="ES44" s="65">
        <f>HostBuild[Software Costs
'[Year 1']
(Monthly)]+HostBuild[Total Hardware Costs
(Monthly)]</f>
        <v>0</v>
      </c>
      <c r="ET44" s="65">
        <f>IFERROR(IF(FIND("Safenet",HostBuild[Server Model]),Safenet_PSE_PL600_Maint,0),0)+IFERROR(IF(FIND("XI52",HostBuild[Server Model]),IBM_DIA_XI52_Maint,0),0)+HostBuild[Software Costs
'[After Year 1']
(Monthly)]+HostBuild[Total Hardware Costs
(Monthly)]</f>
        <v>0</v>
      </c>
      <c r="EU44" s="66">
        <f>SUM(HostBuild[[#This Row],[Server Cost Breakdown]:[Network Cost]])</f>
        <v>0</v>
      </c>
      <c r="EV44" s="67">
        <f>IF(HostBuild[Existing Server?]="Yes - Inside this BoM",0,SUMIF(HostBuild[Alias],HostBuild[Alias],HostBuild[CPU])+SUMIF(HostBuild[Alias],HostBuild[Alias],HostBuild[Existing CPUs]))</f>
        <v>0</v>
      </c>
      <c r="EW44" s="67">
        <f>IF(HostBuild[Existing Server?]="Yes - Inside this BoM",0,SUMIF(HostBuild[Alias],HostBuild[Alias],HostBuild[Cores 
(Licensed Units)])+SUMIF(HostBuild[Alias],HostBuild[Alias],HostBuild[Existing Cores]))</f>
        <v>0</v>
      </c>
      <c r="EX44" s="67">
        <f>IF(HostBuild[Existing Server?]="Yes - Inside this BoM",0,SUMIF(HostBuild[Alias],HostBuild[Alias],HostBuild[RAM 
(GB)])+SUMIF(HostBuild[Alias],HostBuild[Alias],HostBuild[Existing RAM (GB)]))</f>
        <v>0</v>
      </c>
      <c r="EY4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4" s="66">
        <f>IF(ISBLANK(HostBuild[Server Model]),0,IF(HostBuild[Server Tier]="VMware",0,VLOOKUP(HostBuild[Server Tier],[1]!ServerTierRates[#Data],2,0))*HostBuild[CPU]*IF(AND(HostBuild[Server Type]="pSeries",HostBuild[Virtual Platform Storage Type]="Cloud-SAN"),0.25,1))</f>
        <v>0</v>
      </c>
      <c r="FD44" s="66">
        <f>0</f>
        <v>0</v>
      </c>
      <c r="FE44" s="66">
        <f>IF(HostBuild[Server Type]="VMware",HostBuild[RAM 
(GB)]*IF(ISERROR(FIND("DevCloud", HostBuild[Server Model])&gt;0),vRAM_per_vCPU_2014_Monthly,vRAM_per_vCPU_2014_Daily*30),0)</f>
        <v>0</v>
      </c>
      <c r="FF4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4" s="69">
        <f>IF(HostBuild[Server Tier]="VMware",0,IF(LEFT(HostBuild[Existing Server?],3)="Yes",0,IF(OR(HostBuild[Server Type]="Sun",HostBuild[Server Type]="pSeries"),Support_Direct_Server_Sun_per_OS_2014,IF(HostBuild[Server Type]="x86",Support_Direct_Server_x86_Wintel_per_OS_2014,0))))</f>
        <v>0</v>
      </c>
      <c r="FI4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5" spans="1:165" hidden="1">
      <c r="A45" s="122" t="s">
        <v>53</v>
      </c>
      <c r="B45" s="36"/>
      <c r="C45" s="36"/>
      <c r="D45" s="36"/>
      <c r="E45" s="37"/>
      <c r="F45" s="37"/>
      <c r="G45" s="103"/>
      <c r="H45" s="103"/>
      <c r="I45" s="38"/>
      <c r="J45" s="37"/>
      <c r="K45" s="37"/>
      <c r="L45" s="37"/>
      <c r="M45" s="103" t="e">
        <f ca="1">IF(rngIsDate(HostBuild[CTO Acceptance]),"Y","N")</f>
        <v>#NAME?</v>
      </c>
      <c r="N45" s="123" t="s">
        <v>3</v>
      </c>
      <c r="O45" s="39"/>
      <c r="P45" s="39"/>
      <c r="Q45" s="123" t="s">
        <v>52</v>
      </c>
      <c r="R45" s="126" t="str">
        <f>IF(NOT(ISBLANK(HostBuild[Env Label])),IFERROR(VLOOKUP(HostBuild[Env Label],[1]!tEnv[#Data],3,FALSE),""),"")</f>
        <v/>
      </c>
      <c r="S45" s="104"/>
      <c r="T45" s="40"/>
      <c r="U45" s="105"/>
      <c r="V45" s="123" t="s">
        <v>69</v>
      </c>
      <c r="W45" s="123" t="s">
        <v>70</v>
      </c>
      <c r="X45" s="123" t="s">
        <v>57</v>
      </c>
      <c r="Y45" s="123" t="s">
        <v>58</v>
      </c>
      <c r="Z45" s="126" t="str">
        <f>IF(NOT(ISBLANK(HostBuild[[#This Row],[Product 
(Acronym)]])),CONCATENATE(HostBuild[[#This Row],[Type]],"-",HostBuild[[#This Row],[Product 
(Acronym)]]),"")</f>
        <v>AP-ESB</v>
      </c>
      <c r="AA45" s="106"/>
      <c r="AB45" s="106" t="s">
        <v>59</v>
      </c>
      <c r="AC45" s="41"/>
      <c r="AD45" s="42"/>
      <c r="AE45" s="42"/>
      <c r="AF45" s="43" t="s">
        <v>60</v>
      </c>
      <c r="AG45" s="124"/>
      <c r="AH45" s="107"/>
      <c r="AI45" s="124" t="s">
        <v>128</v>
      </c>
      <c r="AJ45" s="115">
        <f>IF(COUNTIF(HostBuild[Alias],HostBuild[Alias]),1/COUNTIF(HostBuild[Alias],HostBuild[Alias]),0)</f>
        <v>1</v>
      </c>
      <c r="AK45" s="124"/>
      <c r="AL45" s="124"/>
      <c r="AM45" s="44" t="s">
        <v>62</v>
      </c>
      <c r="AN45" s="45" t="str">
        <f>IF(NOT(ISBLANK(HostBuild[Server Model])),VLOOKUP(HostBuild[Server Model],[1]!ServerModelsTier[#Data],2,FALSE),"")</f>
        <v>x86 Tier 3</v>
      </c>
      <c r="AO45" s="45" t="str">
        <f>IF(NOT(ISBLANK(HostBuild[Server Model])),VLOOKUP(HostBuild[Server Model],[1]!ServerModelsTier[#Data],5,FALSE),"")</f>
        <v>x86</v>
      </c>
      <c r="AP45" s="44"/>
      <c r="AQ45" s="44" t="s">
        <v>63</v>
      </c>
      <c r="AR45" s="46"/>
      <c r="AS45" s="108"/>
      <c r="AT45" s="47"/>
      <c r="AU45" s="109" t="str">
        <f>IF(IFERROR(FIND("P-Series",HostBuild[Server Tier]),0),CEILING((HostBuild[Existing CPUs]+HostBuild[CPU])*16,8),"")</f>
        <v/>
      </c>
      <c r="AV45" s="48"/>
      <c r="AW45" s="124"/>
      <c r="AX45" s="124"/>
      <c r="AY45" s="124"/>
      <c r="AZ45" s="49"/>
      <c r="BA45" s="124"/>
      <c r="BB45" s="124"/>
      <c r="BC45" s="42"/>
      <c r="BD45" s="124"/>
      <c r="BE45" s="124"/>
      <c r="BF45" s="124"/>
      <c r="BG45" s="124"/>
      <c r="BH45" s="124"/>
      <c r="BI45" s="124"/>
      <c r="BJ45" s="124"/>
      <c r="BK45"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45" s="127"/>
      <c r="BM45" s="129">
        <f>IF(ISNUMBER(HostBuild[Recommended SAN (GB)]),HostBuild[Recommended SAN (GB)])+IF(HostBuild[Additional SAN (GB)]&gt;0,CEILING(HostBuild[Additional SAN (GB)],LUN),-(CEILING(-HostBuild[Additional SAN (GB)],LUN)))</f>
        <v>0</v>
      </c>
      <c r="BN45" s="128"/>
      <c r="BO45" s="129">
        <f>HostBuild[SAN (GB)
NEEDED TODAY]+CEILING(HostBuild[SAN (GB)
RESERVED
DO NOT USE TO BUILD], LUN)</f>
        <v>0</v>
      </c>
      <c r="BP45" s="130"/>
      <c r="BQ45" s="131"/>
      <c r="BR45" s="125" t="s">
        <v>64</v>
      </c>
      <c r="BS45" s="110">
        <f>IF(HostBuild[Existing Server?]&lt;&gt;"Yes - Inside this BoM",IF(ISNUMBER(HostBuild[RAM 
(GB)]),IF(HostBuild[Existing RAM (GB)]+HostBuild[RAM 
(GB)]&gt;0,IF(HostBuild[Virtual Platform Storage Type]="NAS",110+HostBuild[Existing RAM (GB)]+HostBuild[RAM 
(GB)]*1.75,0),0),0),0)</f>
        <v>0</v>
      </c>
      <c r="BT45" s="111"/>
      <c r="BU45" s="112">
        <f>IF(ISNUMBER(HostBuild[Recommended NAS (GB)]),HostBuild[Recommended NAS (GB)])+HostBuild[Additional NAS (GB)]</f>
        <v>0</v>
      </c>
      <c r="BV45" s="50"/>
      <c r="BW45" s="50"/>
      <c r="BX45" s="133">
        <f>IFERROR((HostBuild[SAN (GB)
End-State
DO NOT USE TO BUILD]+HostBuild[SAN (GB) Shared])*25%,"")</f>
        <v>0</v>
      </c>
      <c r="BY45" s="113">
        <f>IFERROR(HostBuild[Archive
Full (GB)]*15%,"")</f>
        <v>0</v>
      </c>
      <c r="BZ45" s="51"/>
      <c r="CA45" s="51"/>
      <c r="CB45" s="52"/>
      <c r="CC45" s="53"/>
      <c r="CD45" s="52"/>
      <c r="CE45" s="54"/>
      <c r="CF45" s="128"/>
      <c r="CG45" s="114"/>
      <c r="CH45" s="55"/>
      <c r="CI45" s="56"/>
      <c r="CJ45" s="57" t="s">
        <v>65</v>
      </c>
      <c r="CK45" s="58"/>
      <c r="CL45" s="59">
        <f>IFERROR(IF(FIND(CL$1,$W45)&gt;0,IF(INDEX([1]!Product_Pricing_Table[#Data],MATCH(CL$1,Products,0),2)="Cores",IF(HostBuild[Use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5" s="59">
        <f>IFERROR(IF(FIND(CM$1,$W45)&gt;0,IF(INDEX([1]!Product_Pricing_Table[#Data],MATCH(CM$1,Products,0),2)="Cores",IF(HostBuild[Use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5" s="59">
        <f>IFERROR(IF(FIND(CN$1,$W45)&gt;0,IF(INDEX([1]!Product_Pricing_Table[#Data],MATCH(CN$1,Products,0),2)="Cores",IF(HostBuild[Use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5" s="59">
        <f>IFERROR(IF(FIND(CO$1,$W45)&gt;0,IF(INDEX([1]!Product_Pricing_Table[#Data],MATCH(CO$1,Products,0),2)="Cores",IF(HostBuild[Use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5" s="59">
        <f>IFERROR(IF(FIND(CP$1,$W45)&gt;0,IF(INDEX([1]!Product_Pricing_Table[#Data],MATCH(CP$1,Products,0),2)="Cores",IF(HostBuild[Use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5" s="59">
        <f>IFERROR(IF(FIND(CQ$1,$W45)&gt;0,IF(INDEX([1]!Product_Pricing_Table[#Data],MATCH(CQ$1,Products,0),2)="Cores",IF(HostBuild[Use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5" s="59">
        <f>IFERROR(IF(FIND(CR$1,$W45)&gt;0,IF(INDEX([1]!Product_Pricing_Table[#Data],MATCH(CR$1,Products,0),2)="Cores",IF(HostBuild[Use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5" s="59">
        <f>IFERROR(IF(FIND(CS$1,$W45)&gt;0,IF(INDEX([1]!Product_Pricing_Table[#Data],MATCH(CS$1,Products,0),2)="Cores",IF(HostBuild[Use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5" s="59">
        <f>IFERROR(IF(FIND(CT$1,$W45)&gt;0,IF(INDEX([1]!Product_Pricing_Table[#Data],MATCH(CT$1,Products,0),2)="Cores",IF(HostBuild[Use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5" s="59">
        <f>IFERROR(IF(FIND(CU$1,$W45)&gt;0,IF(INDEX([1]!Product_Pricing_Table[#Data],MATCH(CU$1,Products,0),2)="Cores",IF(HostBuild[Use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5" s="59">
        <f>IFERROR(IF(FIND(CV$1,$W45)&gt;0,IF(INDEX([1]!Product_Pricing_Table[#Data],MATCH(CV$1,Products,0),2)="Cores",IF(HostBuild[Use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5" s="59">
        <f>IFERROR(IF(FIND(CW$1,$W45)&gt;0,IF(INDEX([1]!Product_Pricing_Table[#Data],MATCH(CW$1,Products,0),2)="Cores",IF(HostBuild[Use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5" s="59">
        <f>IFERROR(IF(FIND(CX$1,$W45)&gt;0,IF(INDEX([1]!Product_Pricing_Table[#Data],MATCH(CX$1,Products,0),2)="Cores",IF(HostBuild[Use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5" s="59">
        <f>IFERROR(IF(FIND(CY$1,$W45)&gt;0,IF(INDEX([1]!Product_Pricing_Table[#Data],MATCH(CY$1,Products,0),2)="Cores",IF(HostBuild[Use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5" s="59">
        <f>IFERROR(IF(FIND(CZ$1,$W45)&gt;0,IF(INDEX([1]!Product_Pricing_Table[#Data],MATCH(CZ$1,Products,0),2)="Cores",IF(HostBuild[Use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5" s="59">
        <f>IFERROR(IF(FIND(DA$1,$W45)&gt;0,IF(INDEX([1]!Product_Pricing_Table[#Data],MATCH(DA$1,Products,0),2)="Cores",IF(HostBuild[Use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5" s="59">
        <f>IFERROR(IF(FIND(DB$1,$W45)&gt;0,IF(INDEX([1]!Product_Pricing_Table[#Data],MATCH(DB$1,Products,0),2)="Cores",IF(HostBuild[Use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5" s="59">
        <f>IFERROR(IF(FIND(DC$1,$W45)&gt;0,IF(INDEX([1]!Product_Pricing_Table[#Data],MATCH(DC$1,Products,0),2)="Cores",IF(HostBuild[Use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5" s="59">
        <f>IFERROR(IF(FIND(DD$1,$W45)&gt;0,IF(INDEX([1]!Product_Pricing_Table[#Data],MATCH(DD$1,Products,0),2)="Cores",IF(HostBuild[Use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5" s="59">
        <f>IFERROR(IF(FIND(DE$1,$W45)&gt;0,IF(INDEX([1]!Product_Pricing_Table[#Data],MATCH(DE$1,Products,0),2)="Cores",IF(HostBuild[Use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5" s="60">
        <f>IFERROR(IF(FIND(DF$1,$W45)&gt;0,IF(INDEX([1]!Product_Pricing_Table[#Data],MATCH(DF$1,Products,0),2)="Cores",IF(HostBuild[Use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5" s="60">
        <f>IFERROR(IF(FIND(DG$1,$W45)&gt;0,IF(INDEX([1]!Product_Pricing_Table[#Data],MATCH(DG$1,Products,0),2)="Cores",IF(HostBuild[Use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5" s="59">
        <f>IFERROR(IF(FIND(DH$1,$W45)&gt;0,IF(INDEX([1]!Product_Pricing_Table[#Data],MATCH(DH$1,Products,0),2)="Cores",IF(HostBuild[Use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5" s="60">
        <f>IFERROR(IF(FIND(DI$1,$W45)&gt;0,IF(INDEX([1]!Product_Pricing_Table[#Data],MATCH(DI$1,Products,0),2)="Cores",IF(HostBuild[Use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5" s="59">
        <f>IFERROR(IF(FIND(DJ$1,$W45)&gt;0,IF(INDEX([1]!Product_Pricing_Table[#Data],MATCH(DJ$1,Products,0),2)="Cores",IF(HostBuild[Use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5" s="59">
        <f>IFERROR(IF(FIND(DK$1,$W45)&gt;0,IF(INDEX([1]!Product_Pricing_Table[#Data],MATCH(DK$1,Products,0),2)="Cores",IF(HostBuild[Use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5" s="59">
        <f>IFERROR(IF(FIND(DL$1,$W45)&gt;0,IF(INDEX([1]!Product_Pricing_Table[#Data],MATCH(DL$1,Products,0),2)="Cores",IF(HostBuild[Use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5" s="59">
        <f>IFERROR(IF(FIND(DM$1,$W45)&gt;0,IF(INDEX([1]!Product_Pricing_Table[#Data],MATCH(DM$1,Products,0),2)="Cores",IF(HostBuild[Use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5" s="59">
        <f>IFERROR(IF(FIND(DN$1,$W45)&gt;0,IF(INDEX([1]!Product_Pricing_Table[#Data],MATCH(DN$1,Products,0),2)="Cores",IF(HostBuild[Use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5" s="59">
        <f>IFERROR(IF(FIND(DO$1,$W45)&gt;0,IF(INDEX([1]!Product_Pricing_Table[#Data],MATCH(DO$1,Products,0),2)="Cores",IF(HostBuild[Use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5" s="59">
        <f>IFERROR(IF(FIND(DP$1,$W45)&gt;0,IF(INDEX([1]!Product_Pricing_Table[#Data],MATCH(DP$1,Products,0),2)="Cores",IF(HostBuild[Use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5" s="59">
        <f>IFERROR(IF(FIND(DQ$1,$W45)&gt;0,IF(INDEX([1]!Product_Pricing_Table[#Data],MATCH(DQ$1,Products,0),2)="Cores",IF(HostBuild[Use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5" s="59">
        <f>IFERROR(IF(FIND(DR$1,$W45)&gt;0,IF(INDEX([1]!Product_Pricing_Table[#Data],MATCH(DR$1,Products,0),2)="Cores",IF(HostBuild[Use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5" s="59">
        <f>IFERROR(IF(FIND(DS$1,$W45)&gt;0,IF(INDEX([1]!Product_Pricing_Table[#Data],MATCH(DS$1,Products,0),2)="Cores",IF(HostBuild[Use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5" s="59">
        <f>IFERROR(IF(FIND(DT$1,$W45)&gt;0,IF(INDEX([1]!Product_Pricing_Table[#Data],MATCH(DT$1,Products,0),2)="Cores",IF(HostBuild[Use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5" s="59">
        <f>IFERROR(IF(FIND(DU$1,$W45)&gt;0,IF(INDEX([1]!Product_Pricing_Table[#Data],MATCH(DU$1,Products,0),2)="Cores",IF(HostBuild[Use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5" s="59">
        <f>IFERROR(IF(FIND(DV$1,$W45)&gt;0,IF(INDEX([1]!Product_Pricing_Table[#Data],MATCH(DV$1,Products,0),2)="Cores",IF(HostBuild[Use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5" s="59">
        <f>IFERROR(IF(FIND(DW$1,$W45)&gt;0,IF(INDEX([1]!Product_Pricing_Table[#Data],MATCH(DW$1,Products,0),2)="Cores",IF(HostBuild[Use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5" s="59">
        <f>IFERROR(IF(FIND(DX$1,$W45)&gt;0,IF(INDEX([1]!Product_Pricing_Table[#Data],MATCH(DX$1,Products,0),2)="Cores",IF(HostBuild[Use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5" s="59">
        <f>IFERROR(IF(FIND(DY$1,$W45)&gt;0,IF(INDEX([1]!Product_Pricing_Table[#Data],MATCH(DY$1,Products,0),2)="Cores",IF(HostBuild[Use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5" s="59">
        <f>IFERROR(IF(FIND(DZ$1,$W45)&gt;0,IF(INDEX([1]!Product_Pricing_Table[#Data],MATCH(DZ$1,Products,0),2)="Cores",IF(HostBuild[Use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5" s="59">
        <f>IFERROR(IF(FIND(EA$1,$W45)&gt;0,IF(INDEX([1]!Product_Pricing_Table[#Data],MATCH(EA$1,Products,0),2)="Cores",IF(HostBuild[Use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5" s="59">
        <f>IFERROR(IF(FIND(EB$1,$W45)&gt;0,IF(INDEX([1]!Product_Pricing_Table[#Data],MATCH(EB$1,Products,0),2)="Cores",IF(HostBuild[Use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5" s="60">
        <f>IFERROR(IF(FIND(EC$1,$W45)&gt;0,IF(INDEX([1]!Product_Pricing_Table[#Data],MATCH(EC$1,Products,0),2)="Cores",IF(HostBuild[Use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5" s="59">
        <f>IFERROR(IF(FIND(ED$1,$W45)&gt;0,IF(INDEX([1]!Product_Pricing_Table[#Data],MATCH(ED$1,Products,0),2)="Cores",IF(HostBuild[Use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5" s="59">
        <f>IFERROR(IF(FIND(EE$1,$W45)&gt;0,IF(INDEX([1]!Product_Pricing_Table[#Data],MATCH(EE$1,Products,0),2)="Cores",IF(HostBuild[Use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5" s="59">
        <f>IFERROR(IF(FIND(EF$1,$W45)&gt;0,IF(INDEX([1]!Product_Pricing_Table[#Data],MATCH(EF$1,Products,0),2)="Cores",IF(HostBuild[Use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5" s="59">
        <f>IFERROR(IF(FIND(EG$1,$W45)&gt;0,IF(INDEX([1]!Product_Pricing_Table[#Data],MATCH(EG$1,Products,0),2)="Cores",IF(HostBuild[Use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5" s="59">
        <f>IFERROR(IF(FIND(EH$1,$W45)&gt;0,IF(INDEX([1]!Product_Pricing_Table[#Data],MATCH(EH$1,Products,0),2)="Cores",IF(HostBuild[Use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5" s="59">
        <f>IFERROR(IF(FIND(EI$1,$W45)&gt;0,IF(INDEX([1]!Product_Pricing_Table[#Data],MATCH(EI$1,Products,0),2)="Cores",IF(HostBuild[Use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5" s="59">
        <f>IFERROR(IF(FIND(EJ$1,$W45)&gt;0,IF(INDEX([1]!Product_Pricing_Table[#Data],MATCH(EJ$1,Products,0),2)="Cores",IF(HostBuild[Use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5" s="60">
        <f>IFERROR(IF(FIND(EK$1,$W45)&gt;0,IF(INDEX([1]!Product_Pricing_Table[#Data],MATCH(EK$1,Products,0),2)="Cores",IF(HostBuild[Use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5" s="61"/>
      <c r="EM45" s="62"/>
      <c r="EN45" s="63"/>
      <c r="EO45"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4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5" s="132">
        <f>(HostBuild[Archive
Full (GB)]+HostBuild[Archive
Incr (GB)])*Storage_DC_Dist_Tape_2014</f>
        <v>0</v>
      </c>
      <c r="ER45" s="132">
        <f>IF(ISNUMBER(HostBuild[Server HW Costs
(Monthly)]),SUM(HostBuild[[#This Row],[Server HW Costs
(Monthly)]:[Tape Costs
(Monthly)]]),0)</f>
        <v>0</v>
      </c>
      <c r="ES45" s="65">
        <f>HostBuild[Software Costs
'[Year 1']
(Monthly)]+HostBuild[Total Hardware Costs
(Monthly)]</f>
        <v>0</v>
      </c>
      <c r="ET45" s="65">
        <f>IFERROR(IF(FIND("Safenet",HostBuild[Server Model]),Safenet_PSE_PL600_Maint,0),0)+IFERROR(IF(FIND("XI52",HostBuild[Server Model]),IBM_DIA_XI52_Maint,0),0)+HostBuild[Software Costs
'[After Year 1']
(Monthly)]+HostBuild[Total Hardware Costs
(Monthly)]</f>
        <v>0</v>
      </c>
      <c r="EU45" s="66">
        <f>SUM(HostBuild[[#This Row],[Server Cost Breakdown]:[Network Cost]])</f>
        <v>0</v>
      </c>
      <c r="EV45" s="67">
        <f>IF(HostBuild[Existing Server?]="Yes - Inside this BoM",0,SUMIF(HostBuild[Alias],HostBuild[Alias],HostBuild[CPU])+SUMIF(HostBuild[Alias],HostBuild[Alias],HostBuild[Existing CPUs]))</f>
        <v>0</v>
      </c>
      <c r="EW45" s="67">
        <f>IF(HostBuild[Existing Server?]="Yes - Inside this BoM",0,SUMIF(HostBuild[Alias],HostBuild[Alias],HostBuild[Cores 
(Licensed Units)])+SUMIF(HostBuild[Alias],HostBuild[Alias],HostBuild[Existing Cores]))</f>
        <v>0</v>
      </c>
      <c r="EX45" s="67">
        <f>IF(HostBuild[Existing Server?]="Yes - Inside this BoM",0,SUMIF(HostBuild[Alias],HostBuild[Alias],HostBuild[RAM 
(GB)])+SUMIF(HostBuild[Alias],HostBuild[Alias],HostBuild[Existing RAM (GB)]))</f>
        <v>0</v>
      </c>
      <c r="EY4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5" s="66">
        <f>IF(ISBLANK(HostBuild[Server Model]),0,IF(HostBuild[Server Tier]="VMware",0,VLOOKUP(HostBuild[Server Tier],[1]!ServerTierRates[#Data],2,0))*HostBuild[CPU]*IF(AND(HostBuild[Server Type]="pSeries",HostBuild[Virtual Platform Storage Type]="Cloud-SAN"),0.25,1))</f>
        <v>0</v>
      </c>
      <c r="FD45" s="66">
        <f>0</f>
        <v>0</v>
      </c>
      <c r="FE45" s="66">
        <f>IF(HostBuild[Server Type]="VMware",HostBuild[RAM 
(GB)]*IF(ISERROR(FIND("DevCloud", HostBuild[Server Model])&gt;0),vRAM_per_vCPU_2014_Monthly,vRAM_per_vCPU_2014_Daily*30),0)</f>
        <v>0</v>
      </c>
      <c r="FF4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5" s="69">
        <f>IF(HostBuild[Server Tier]="VMware",0,IF(LEFT(HostBuild[Existing Server?],3)="Yes",0,IF(OR(HostBuild[Server Type]="Sun",HostBuild[Server Type]="pSeries"),Support_Direct_Server_Sun_per_OS_2014,IF(HostBuild[Server Type]="x86",Support_Direct_Server_x86_Wintel_per_OS_2014,0))))</f>
        <v>0</v>
      </c>
      <c r="FI4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6" spans="1:165" hidden="1">
      <c r="A46" s="122" t="s">
        <v>53</v>
      </c>
      <c r="B46" s="36"/>
      <c r="C46" s="36"/>
      <c r="D46" s="36"/>
      <c r="E46" s="37"/>
      <c r="F46" s="37"/>
      <c r="G46" s="103"/>
      <c r="H46" s="103"/>
      <c r="I46" s="38"/>
      <c r="J46" s="37"/>
      <c r="K46" s="37"/>
      <c r="L46" s="37"/>
      <c r="M46" s="103" t="e">
        <f ca="1">IF(rngIsDate(HostBuild[CTO Acceptance]),"Y","N")</f>
        <v>#NAME?</v>
      </c>
      <c r="N46" s="123" t="s">
        <v>3</v>
      </c>
      <c r="O46" s="39"/>
      <c r="P46" s="39"/>
      <c r="Q46" s="123" t="s">
        <v>52</v>
      </c>
      <c r="R46" s="126" t="str">
        <f>IF(NOT(ISBLANK(HostBuild[Env Label])),IFERROR(VLOOKUP(HostBuild[Env Label],[1]!tEnv[#Data],3,FALSE),""),"")</f>
        <v/>
      </c>
      <c r="S46" s="104"/>
      <c r="T46" s="40"/>
      <c r="U46" s="105"/>
      <c r="V46" s="123" t="s">
        <v>69</v>
      </c>
      <c r="W46" s="123" t="s">
        <v>70</v>
      </c>
      <c r="X46" s="123" t="s">
        <v>57</v>
      </c>
      <c r="Y46" s="123" t="s">
        <v>58</v>
      </c>
      <c r="Z46" s="126" t="str">
        <f>IF(NOT(ISBLANK(HostBuild[[#This Row],[Product 
(Acronym)]])),CONCATENATE(HostBuild[[#This Row],[Type]],"-",HostBuild[[#This Row],[Product 
(Acronym)]]),"")</f>
        <v>AP-ESB</v>
      </c>
      <c r="AA46" s="106"/>
      <c r="AB46" s="106" t="s">
        <v>59</v>
      </c>
      <c r="AC46" s="41"/>
      <c r="AD46" s="42"/>
      <c r="AE46" s="42"/>
      <c r="AF46" s="43" t="s">
        <v>60</v>
      </c>
      <c r="AG46" s="124"/>
      <c r="AH46" s="107"/>
      <c r="AI46" s="124" t="s">
        <v>129</v>
      </c>
      <c r="AJ46" s="115">
        <f>IF(COUNTIF(HostBuild[Alias],HostBuild[Alias]),1/COUNTIF(HostBuild[Alias],HostBuild[Alias]),0)</f>
        <v>1</v>
      </c>
      <c r="AK46" s="124"/>
      <c r="AL46" s="124"/>
      <c r="AM46" s="44" t="s">
        <v>62</v>
      </c>
      <c r="AN46" s="45" t="str">
        <f>IF(NOT(ISBLANK(HostBuild[Server Model])),VLOOKUP(HostBuild[Server Model],[1]!ServerModelsTier[#Data],2,FALSE),"")</f>
        <v>x86 Tier 3</v>
      </c>
      <c r="AO46" s="45" t="str">
        <f>IF(NOT(ISBLANK(HostBuild[Server Model])),VLOOKUP(HostBuild[Server Model],[1]!ServerModelsTier[#Data],5,FALSE),"")</f>
        <v>x86</v>
      </c>
      <c r="AP46" s="44"/>
      <c r="AQ46" s="44" t="s">
        <v>63</v>
      </c>
      <c r="AR46" s="46"/>
      <c r="AS46" s="108"/>
      <c r="AT46" s="47"/>
      <c r="AU46" s="109" t="str">
        <f>IF(IFERROR(FIND("P-Series",HostBuild[Server Tier]),0),CEILING((HostBuild[Existing CPUs]+HostBuild[CPU])*16,8),"")</f>
        <v/>
      </c>
      <c r="AV46" s="48"/>
      <c r="AW46" s="124"/>
      <c r="AX46" s="124"/>
      <c r="AY46" s="124"/>
      <c r="AZ46" s="49"/>
      <c r="BA46" s="124"/>
      <c r="BB46" s="124"/>
      <c r="BC46" s="42"/>
      <c r="BD46" s="124"/>
      <c r="BE46" s="124"/>
      <c r="BF46" s="124"/>
      <c r="BG46" s="124"/>
      <c r="BH46" s="124"/>
      <c r="BI46" s="124"/>
      <c r="BJ46" s="124"/>
      <c r="BK46"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46" s="127"/>
      <c r="BM46" s="129">
        <f>IF(ISNUMBER(HostBuild[Recommended SAN (GB)]),HostBuild[Recommended SAN (GB)])+IF(HostBuild[Additional SAN (GB)]&gt;0,CEILING(HostBuild[Additional SAN (GB)],LUN),-(CEILING(-HostBuild[Additional SAN (GB)],LUN)))</f>
        <v>0</v>
      </c>
      <c r="BN46" s="128"/>
      <c r="BO46" s="129">
        <f>HostBuild[SAN (GB)
NEEDED TODAY]+CEILING(HostBuild[SAN (GB)
RESERVED
DO NOT USE TO BUILD], LUN)</f>
        <v>0</v>
      </c>
      <c r="BP46" s="130"/>
      <c r="BQ46" s="131"/>
      <c r="BR46" s="125" t="s">
        <v>64</v>
      </c>
      <c r="BS46" s="110">
        <f>IF(HostBuild[Existing Server?]&lt;&gt;"Yes - Inside this BoM",IF(ISNUMBER(HostBuild[RAM 
(GB)]),IF(HostBuild[Existing RAM (GB)]+HostBuild[RAM 
(GB)]&gt;0,IF(HostBuild[Virtual Platform Storage Type]="NAS",110+HostBuild[Existing RAM (GB)]+HostBuild[RAM 
(GB)]*1.75,0),0),0),0)</f>
        <v>0</v>
      </c>
      <c r="BT46" s="111"/>
      <c r="BU46" s="112">
        <f>IF(ISNUMBER(HostBuild[Recommended NAS (GB)]),HostBuild[Recommended NAS (GB)])+HostBuild[Additional NAS (GB)]</f>
        <v>0</v>
      </c>
      <c r="BV46" s="50"/>
      <c r="BW46" s="50"/>
      <c r="BX46" s="133">
        <f>IFERROR((HostBuild[SAN (GB)
End-State
DO NOT USE TO BUILD]+HostBuild[SAN (GB) Shared])*25%,"")</f>
        <v>0</v>
      </c>
      <c r="BY46" s="113">
        <f>IFERROR(HostBuild[Archive
Full (GB)]*15%,"")</f>
        <v>0</v>
      </c>
      <c r="BZ46" s="51"/>
      <c r="CA46" s="51"/>
      <c r="CB46" s="52"/>
      <c r="CC46" s="53"/>
      <c r="CD46" s="52"/>
      <c r="CE46" s="54"/>
      <c r="CF46" s="128"/>
      <c r="CG46" s="114"/>
      <c r="CH46" s="55"/>
      <c r="CI46" s="56"/>
      <c r="CJ46" s="57" t="s">
        <v>65</v>
      </c>
      <c r="CK46" s="58"/>
      <c r="CL46" s="59">
        <f>IFERROR(IF(FIND(CL$1,$W46)&gt;0,IF(INDEX([1]!Product_Pricing_Table[#Data],MATCH(CL$1,Products,0),2)="Cores",IF(HostBuild[Use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6" s="59">
        <f>IFERROR(IF(FIND(CM$1,$W46)&gt;0,IF(INDEX([1]!Product_Pricing_Table[#Data],MATCH(CM$1,Products,0),2)="Cores",IF(HostBuild[Use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6" s="59">
        <f>IFERROR(IF(FIND(CN$1,$W46)&gt;0,IF(INDEX([1]!Product_Pricing_Table[#Data],MATCH(CN$1,Products,0),2)="Cores",IF(HostBuild[Use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6" s="59">
        <f>IFERROR(IF(FIND(CO$1,$W46)&gt;0,IF(INDEX([1]!Product_Pricing_Table[#Data],MATCH(CO$1,Products,0),2)="Cores",IF(HostBuild[Use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6" s="59">
        <f>IFERROR(IF(FIND(CP$1,$W46)&gt;0,IF(INDEX([1]!Product_Pricing_Table[#Data],MATCH(CP$1,Products,0),2)="Cores",IF(HostBuild[Use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6" s="59">
        <f>IFERROR(IF(FIND(CQ$1,$W46)&gt;0,IF(INDEX([1]!Product_Pricing_Table[#Data],MATCH(CQ$1,Products,0),2)="Cores",IF(HostBuild[Use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6" s="59">
        <f>IFERROR(IF(FIND(CR$1,$W46)&gt;0,IF(INDEX([1]!Product_Pricing_Table[#Data],MATCH(CR$1,Products,0),2)="Cores",IF(HostBuild[Use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6" s="59">
        <f>IFERROR(IF(FIND(CS$1,$W46)&gt;0,IF(INDEX([1]!Product_Pricing_Table[#Data],MATCH(CS$1,Products,0),2)="Cores",IF(HostBuild[Use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6" s="59">
        <f>IFERROR(IF(FIND(CT$1,$W46)&gt;0,IF(INDEX([1]!Product_Pricing_Table[#Data],MATCH(CT$1,Products,0),2)="Cores",IF(HostBuild[Use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6" s="59">
        <f>IFERROR(IF(FIND(CU$1,$W46)&gt;0,IF(INDEX([1]!Product_Pricing_Table[#Data],MATCH(CU$1,Products,0),2)="Cores",IF(HostBuild[Use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6" s="59">
        <f>IFERROR(IF(FIND(CV$1,$W46)&gt;0,IF(INDEX([1]!Product_Pricing_Table[#Data],MATCH(CV$1,Products,0),2)="Cores",IF(HostBuild[Use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6" s="59">
        <f>IFERROR(IF(FIND(CW$1,$W46)&gt;0,IF(INDEX([1]!Product_Pricing_Table[#Data],MATCH(CW$1,Products,0),2)="Cores",IF(HostBuild[Use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6" s="59">
        <f>IFERROR(IF(FIND(CX$1,$W46)&gt;0,IF(INDEX([1]!Product_Pricing_Table[#Data],MATCH(CX$1,Products,0),2)="Cores",IF(HostBuild[Use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6" s="59">
        <f>IFERROR(IF(FIND(CY$1,$W46)&gt;0,IF(INDEX([1]!Product_Pricing_Table[#Data],MATCH(CY$1,Products,0),2)="Cores",IF(HostBuild[Use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6" s="59">
        <f>IFERROR(IF(FIND(CZ$1,$W46)&gt;0,IF(INDEX([1]!Product_Pricing_Table[#Data],MATCH(CZ$1,Products,0),2)="Cores",IF(HostBuild[Use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6" s="59">
        <f>IFERROR(IF(FIND(DA$1,$W46)&gt;0,IF(INDEX([1]!Product_Pricing_Table[#Data],MATCH(DA$1,Products,0),2)="Cores",IF(HostBuild[Use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6" s="59">
        <f>IFERROR(IF(FIND(DB$1,$W46)&gt;0,IF(INDEX([1]!Product_Pricing_Table[#Data],MATCH(DB$1,Products,0),2)="Cores",IF(HostBuild[Use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6" s="59">
        <f>IFERROR(IF(FIND(DC$1,$W46)&gt;0,IF(INDEX([1]!Product_Pricing_Table[#Data],MATCH(DC$1,Products,0),2)="Cores",IF(HostBuild[Use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6" s="59">
        <f>IFERROR(IF(FIND(DD$1,$W46)&gt;0,IF(INDEX([1]!Product_Pricing_Table[#Data],MATCH(DD$1,Products,0),2)="Cores",IF(HostBuild[Use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6" s="59">
        <f>IFERROR(IF(FIND(DE$1,$W46)&gt;0,IF(INDEX([1]!Product_Pricing_Table[#Data],MATCH(DE$1,Products,0),2)="Cores",IF(HostBuild[Use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6" s="60">
        <f>IFERROR(IF(FIND(DF$1,$W46)&gt;0,IF(INDEX([1]!Product_Pricing_Table[#Data],MATCH(DF$1,Products,0),2)="Cores",IF(HostBuild[Use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6" s="60">
        <f>IFERROR(IF(FIND(DG$1,$W46)&gt;0,IF(INDEX([1]!Product_Pricing_Table[#Data],MATCH(DG$1,Products,0),2)="Cores",IF(HostBuild[Use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6" s="59">
        <f>IFERROR(IF(FIND(DH$1,$W46)&gt;0,IF(INDEX([1]!Product_Pricing_Table[#Data],MATCH(DH$1,Products,0),2)="Cores",IF(HostBuild[Use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6" s="60">
        <f>IFERROR(IF(FIND(DI$1,$W46)&gt;0,IF(INDEX([1]!Product_Pricing_Table[#Data],MATCH(DI$1,Products,0),2)="Cores",IF(HostBuild[Use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6" s="59">
        <f>IFERROR(IF(FIND(DJ$1,$W46)&gt;0,IF(INDEX([1]!Product_Pricing_Table[#Data],MATCH(DJ$1,Products,0),2)="Cores",IF(HostBuild[Use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6" s="59">
        <f>IFERROR(IF(FIND(DK$1,$W46)&gt;0,IF(INDEX([1]!Product_Pricing_Table[#Data],MATCH(DK$1,Products,0),2)="Cores",IF(HostBuild[Use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6" s="59">
        <f>IFERROR(IF(FIND(DL$1,$W46)&gt;0,IF(INDEX([1]!Product_Pricing_Table[#Data],MATCH(DL$1,Products,0),2)="Cores",IF(HostBuild[Use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6" s="59">
        <f>IFERROR(IF(FIND(DM$1,$W46)&gt;0,IF(INDEX([1]!Product_Pricing_Table[#Data],MATCH(DM$1,Products,0),2)="Cores",IF(HostBuild[Use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6" s="59">
        <f>IFERROR(IF(FIND(DN$1,$W46)&gt;0,IF(INDEX([1]!Product_Pricing_Table[#Data],MATCH(DN$1,Products,0),2)="Cores",IF(HostBuild[Use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6" s="59">
        <f>IFERROR(IF(FIND(DO$1,$W46)&gt;0,IF(INDEX([1]!Product_Pricing_Table[#Data],MATCH(DO$1,Products,0),2)="Cores",IF(HostBuild[Use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6" s="59">
        <f>IFERROR(IF(FIND(DP$1,$W46)&gt;0,IF(INDEX([1]!Product_Pricing_Table[#Data],MATCH(DP$1,Products,0),2)="Cores",IF(HostBuild[Use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6" s="59">
        <f>IFERROR(IF(FIND(DQ$1,$W46)&gt;0,IF(INDEX([1]!Product_Pricing_Table[#Data],MATCH(DQ$1,Products,0),2)="Cores",IF(HostBuild[Use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6" s="59">
        <f>IFERROR(IF(FIND(DR$1,$W46)&gt;0,IF(INDEX([1]!Product_Pricing_Table[#Data],MATCH(DR$1,Products,0),2)="Cores",IF(HostBuild[Use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6" s="59">
        <f>IFERROR(IF(FIND(DS$1,$W46)&gt;0,IF(INDEX([1]!Product_Pricing_Table[#Data],MATCH(DS$1,Products,0),2)="Cores",IF(HostBuild[Use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6" s="59">
        <f>IFERROR(IF(FIND(DT$1,$W46)&gt;0,IF(INDEX([1]!Product_Pricing_Table[#Data],MATCH(DT$1,Products,0),2)="Cores",IF(HostBuild[Use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6" s="59">
        <f>IFERROR(IF(FIND(DU$1,$W46)&gt;0,IF(INDEX([1]!Product_Pricing_Table[#Data],MATCH(DU$1,Products,0),2)="Cores",IF(HostBuild[Use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6" s="59">
        <f>IFERROR(IF(FIND(DV$1,$W46)&gt;0,IF(INDEX([1]!Product_Pricing_Table[#Data],MATCH(DV$1,Products,0),2)="Cores",IF(HostBuild[Use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6" s="59">
        <f>IFERROR(IF(FIND(DW$1,$W46)&gt;0,IF(INDEX([1]!Product_Pricing_Table[#Data],MATCH(DW$1,Products,0),2)="Cores",IF(HostBuild[Use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6" s="59">
        <f>IFERROR(IF(FIND(DX$1,$W46)&gt;0,IF(INDEX([1]!Product_Pricing_Table[#Data],MATCH(DX$1,Products,0),2)="Cores",IF(HostBuild[Use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6" s="59">
        <f>IFERROR(IF(FIND(DY$1,$W46)&gt;0,IF(INDEX([1]!Product_Pricing_Table[#Data],MATCH(DY$1,Products,0),2)="Cores",IF(HostBuild[Use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6" s="59">
        <f>IFERROR(IF(FIND(DZ$1,$W46)&gt;0,IF(INDEX([1]!Product_Pricing_Table[#Data],MATCH(DZ$1,Products,0),2)="Cores",IF(HostBuild[Use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6" s="59">
        <f>IFERROR(IF(FIND(EA$1,$W46)&gt;0,IF(INDEX([1]!Product_Pricing_Table[#Data],MATCH(EA$1,Products,0),2)="Cores",IF(HostBuild[Use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6" s="59">
        <f>IFERROR(IF(FIND(EB$1,$W46)&gt;0,IF(INDEX([1]!Product_Pricing_Table[#Data],MATCH(EB$1,Products,0),2)="Cores",IF(HostBuild[Use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6" s="60">
        <f>IFERROR(IF(FIND(EC$1,$W46)&gt;0,IF(INDEX([1]!Product_Pricing_Table[#Data],MATCH(EC$1,Products,0),2)="Cores",IF(HostBuild[Use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6" s="59">
        <f>IFERROR(IF(FIND(ED$1,$W46)&gt;0,IF(INDEX([1]!Product_Pricing_Table[#Data],MATCH(ED$1,Products,0),2)="Cores",IF(HostBuild[Use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6" s="59">
        <f>IFERROR(IF(FIND(EE$1,$W46)&gt;0,IF(INDEX([1]!Product_Pricing_Table[#Data],MATCH(EE$1,Products,0),2)="Cores",IF(HostBuild[Use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6" s="59">
        <f>IFERROR(IF(FIND(EF$1,$W46)&gt;0,IF(INDEX([1]!Product_Pricing_Table[#Data],MATCH(EF$1,Products,0),2)="Cores",IF(HostBuild[Use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6" s="59">
        <f>IFERROR(IF(FIND(EG$1,$W46)&gt;0,IF(INDEX([1]!Product_Pricing_Table[#Data],MATCH(EG$1,Products,0),2)="Cores",IF(HostBuild[Use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6" s="59">
        <f>IFERROR(IF(FIND(EH$1,$W46)&gt;0,IF(INDEX([1]!Product_Pricing_Table[#Data],MATCH(EH$1,Products,0),2)="Cores",IF(HostBuild[Use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6" s="59">
        <f>IFERROR(IF(FIND(EI$1,$W46)&gt;0,IF(INDEX([1]!Product_Pricing_Table[#Data],MATCH(EI$1,Products,0),2)="Cores",IF(HostBuild[Use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6" s="59">
        <f>IFERROR(IF(FIND(EJ$1,$W46)&gt;0,IF(INDEX([1]!Product_Pricing_Table[#Data],MATCH(EJ$1,Products,0),2)="Cores",IF(HostBuild[Use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6" s="60">
        <f>IFERROR(IF(FIND(EK$1,$W46)&gt;0,IF(INDEX([1]!Product_Pricing_Table[#Data],MATCH(EK$1,Products,0),2)="Cores",IF(HostBuild[Use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6" s="61"/>
      <c r="EM46" s="62"/>
      <c r="EN46" s="63"/>
      <c r="EO46"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4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6" s="132">
        <f>(HostBuild[Archive
Full (GB)]+HostBuild[Archive
Incr (GB)])*Storage_DC_Dist_Tape_2014</f>
        <v>0</v>
      </c>
      <c r="ER46" s="132">
        <f>IF(ISNUMBER(HostBuild[Server HW Costs
(Monthly)]),SUM(HostBuild[[#This Row],[Server HW Costs
(Monthly)]:[Tape Costs
(Monthly)]]),0)</f>
        <v>0</v>
      </c>
      <c r="ES46" s="65">
        <f>HostBuild[Software Costs
'[Year 1']
(Monthly)]+HostBuild[Total Hardware Costs
(Monthly)]</f>
        <v>0</v>
      </c>
      <c r="ET46" s="65">
        <f>IFERROR(IF(FIND("Safenet",HostBuild[Server Model]),Safenet_PSE_PL600_Maint,0),0)+IFERROR(IF(FIND("XI52",HostBuild[Server Model]),IBM_DIA_XI52_Maint,0),0)+HostBuild[Software Costs
'[After Year 1']
(Monthly)]+HostBuild[Total Hardware Costs
(Monthly)]</f>
        <v>0</v>
      </c>
      <c r="EU46" s="66">
        <f>SUM(HostBuild[[#This Row],[Server Cost Breakdown]:[Network Cost]])</f>
        <v>0</v>
      </c>
      <c r="EV46" s="67">
        <f>IF(HostBuild[Existing Server?]="Yes - Inside this BoM",0,SUMIF(HostBuild[Alias],HostBuild[Alias],HostBuild[CPU])+SUMIF(HostBuild[Alias],HostBuild[Alias],HostBuild[Existing CPUs]))</f>
        <v>0</v>
      </c>
      <c r="EW46" s="67">
        <f>IF(HostBuild[Existing Server?]="Yes - Inside this BoM",0,SUMIF(HostBuild[Alias],HostBuild[Alias],HostBuild[Cores 
(Licensed Units)])+SUMIF(HostBuild[Alias],HostBuild[Alias],HostBuild[Existing Cores]))</f>
        <v>0</v>
      </c>
      <c r="EX46" s="67">
        <f>IF(HostBuild[Existing Server?]="Yes - Inside this BoM",0,SUMIF(HostBuild[Alias],HostBuild[Alias],HostBuild[RAM 
(GB)])+SUMIF(HostBuild[Alias],HostBuild[Alias],HostBuild[Existing RAM (GB)]))</f>
        <v>0</v>
      </c>
      <c r="EY4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6" s="66">
        <f>IF(ISBLANK(HostBuild[Server Model]),0,IF(HostBuild[Server Tier]="VMware",0,VLOOKUP(HostBuild[Server Tier],[1]!ServerTierRates[#Data],2,0))*HostBuild[CPU]*IF(AND(HostBuild[Server Type]="pSeries",HostBuild[Virtual Platform Storage Type]="Cloud-SAN"),0.25,1))</f>
        <v>0</v>
      </c>
      <c r="FD46" s="66">
        <f>0</f>
        <v>0</v>
      </c>
      <c r="FE46" s="66">
        <f>IF(HostBuild[Server Type]="VMware",HostBuild[RAM 
(GB)]*IF(ISERROR(FIND("DevCloud", HostBuild[Server Model])&gt;0),vRAM_per_vCPU_2014_Monthly,vRAM_per_vCPU_2014_Daily*30),0)</f>
        <v>0</v>
      </c>
      <c r="FF4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4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6" s="69">
        <f>IF(HostBuild[Server Tier]="VMware",0,IF(LEFT(HostBuild[Existing Server?],3)="Yes",0,IF(OR(HostBuild[Server Type]="Sun",HostBuild[Server Type]="pSeries"),Support_Direct_Server_Sun_per_OS_2014,IF(HostBuild[Server Type]="x86",Support_Direct_Server_x86_Wintel_per_OS_2014,0))))</f>
        <v>0</v>
      </c>
      <c r="FI4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7" spans="1:165" hidden="1">
      <c r="A47" s="122" t="s">
        <v>53</v>
      </c>
      <c r="B47" s="36"/>
      <c r="C47" s="36"/>
      <c r="D47" s="36"/>
      <c r="E47" s="37"/>
      <c r="F47" s="37"/>
      <c r="G47" s="103"/>
      <c r="H47" s="103"/>
      <c r="I47" s="38"/>
      <c r="J47" s="37"/>
      <c r="K47" s="37"/>
      <c r="L47" s="37"/>
      <c r="M47" s="103" t="e">
        <f ca="1">IF(rngIsDate(HostBuild[CTO Acceptance]),"Y","N")</f>
        <v>#NAME?</v>
      </c>
      <c r="N47" s="123" t="s">
        <v>3</v>
      </c>
      <c r="O47" s="39"/>
      <c r="P47" s="39"/>
      <c r="Q47" s="123" t="s">
        <v>52</v>
      </c>
      <c r="R47" s="126" t="str">
        <f>IF(NOT(ISBLANK(HostBuild[Env Label])),IFERROR(VLOOKUP(HostBuild[Env Label],[1]!tEnv[#Data],3,FALSE),""),"")</f>
        <v/>
      </c>
      <c r="S47" s="104"/>
      <c r="T47" s="40"/>
      <c r="U47" s="105"/>
      <c r="V47" s="123" t="s">
        <v>75</v>
      </c>
      <c r="W47" s="123" t="s">
        <v>70</v>
      </c>
      <c r="X47" s="123" t="s">
        <v>57</v>
      </c>
      <c r="Y47" s="123" t="s">
        <v>58</v>
      </c>
      <c r="Z47" s="126" t="str">
        <f>IF(NOT(ISBLANK(HostBuild[[#This Row],[Product 
(Acronym)]])),CONCATENATE(HostBuild[[#This Row],[Type]],"-",HostBuild[[#This Row],[Product 
(Acronym)]]),"")</f>
        <v>AP-ESB</v>
      </c>
      <c r="AA47" s="106"/>
      <c r="AB47" s="106" t="s">
        <v>76</v>
      </c>
      <c r="AC47" s="41"/>
      <c r="AD47" s="42"/>
      <c r="AE47" s="42"/>
      <c r="AF47" s="43"/>
      <c r="AG47" s="124"/>
      <c r="AH47" s="107"/>
      <c r="AI47" s="124" t="s">
        <v>130</v>
      </c>
      <c r="AJ47" s="123">
        <f>IF(COUNTIF(HostBuild[Alias],HostBuild[Alias]),1/COUNTIF(HostBuild[Alias],HostBuild[Alias]),0)</f>
        <v>1</v>
      </c>
      <c r="AK47" s="124"/>
      <c r="AL47" s="124"/>
      <c r="AM47" s="44" t="s">
        <v>62</v>
      </c>
      <c r="AN47" s="45" t="str">
        <f>IF(NOT(ISBLANK(HostBuild[Server Model])),VLOOKUP(HostBuild[Server Model],[1]!ServerModelsTier[#Data],2,FALSE),"")</f>
        <v>x86 Tier 3</v>
      </c>
      <c r="AO47" s="45" t="str">
        <f>IF(NOT(ISBLANK(HostBuild[Server Model])),VLOOKUP(HostBuild[Server Model],[1]!ServerModelsTier[#Data],5,FALSE),"")</f>
        <v>x86</v>
      </c>
      <c r="AP47" s="44"/>
      <c r="AQ47" s="44" t="s">
        <v>63</v>
      </c>
      <c r="AR47" s="46">
        <v>2</v>
      </c>
      <c r="AS47" s="108"/>
      <c r="AT47" s="47"/>
      <c r="AU47" s="109" t="str">
        <f>IF(IFERROR(FIND("P-Series",HostBuild[Server Tier]),0),CEILING((HostBuild[Existing CPUs]+HostBuild[CPU])*16,8),"")</f>
        <v/>
      </c>
      <c r="AV47" s="48">
        <v>256</v>
      </c>
      <c r="AW47" s="124"/>
      <c r="AX47" s="124"/>
      <c r="AY47" s="124"/>
      <c r="AZ47" s="49"/>
      <c r="BA47" s="124"/>
      <c r="BB47" s="124"/>
      <c r="BC47" s="42"/>
      <c r="BD47" s="124"/>
      <c r="BE47" s="124"/>
      <c r="BF47" s="124"/>
      <c r="BG47" s="124"/>
      <c r="BH47" s="124"/>
      <c r="BI47" s="124"/>
      <c r="BJ47" s="124"/>
      <c r="BK47" s="133"/>
      <c r="BL47" s="127"/>
      <c r="BM47" s="129">
        <f>IF(ISNUMBER(HostBuild[Recommended SAN (GB)]),HostBuild[Recommended SAN (GB)])+IF(HostBuild[Additional SAN (GB)]&gt;0,CEILING(HostBuild[Additional SAN (GB)],LUN),-(CEILING(-HostBuild[Additional SAN (GB)],LUN)))</f>
        <v>0</v>
      </c>
      <c r="BN47" s="128"/>
      <c r="BO47" s="129">
        <f>HostBuild[SAN (GB)
NEEDED TODAY]+CEILING(HostBuild[SAN (GB)
RESERVED
DO NOT USE TO BUILD], LUN)</f>
        <v>0</v>
      </c>
      <c r="BP47" s="130"/>
      <c r="BQ47" s="131"/>
      <c r="BR47" s="125" t="s">
        <v>64</v>
      </c>
      <c r="BS47" s="110">
        <f>IF(HostBuild[Existing Server?]&lt;&gt;"Yes - Inside this BoM",IF(ISNUMBER(HostBuild[RAM 
(GB)]),IF(HostBuild[Existing RAM (GB)]+HostBuild[RAM 
(GB)]&gt;0,IF(HostBuild[Virtual Platform Storage Type]="NAS",110+HostBuild[Existing RAM (GB)]+HostBuild[RAM 
(GB)]*1.75,0),0),0),0)</f>
        <v>0</v>
      </c>
      <c r="BT47" s="111"/>
      <c r="BU47" s="112">
        <f>IF(ISNUMBER(HostBuild[Recommended NAS (GB)]),HostBuild[Recommended NAS (GB)])+HostBuild[Additional NAS (GB)]</f>
        <v>0</v>
      </c>
      <c r="BV47" s="50"/>
      <c r="BW47" s="50"/>
      <c r="BX47" s="133">
        <f>IFERROR((HostBuild[SAN (GB)
End-State
DO NOT USE TO BUILD]+HostBuild[SAN (GB) Shared])*25%,"")</f>
        <v>0</v>
      </c>
      <c r="BY47" s="113">
        <f>IFERROR(HostBuild[Archive
Full (GB)]*15%,"")</f>
        <v>0</v>
      </c>
      <c r="BZ47" s="51"/>
      <c r="CA47" s="51"/>
      <c r="CB47" s="52"/>
      <c r="CC47" s="53"/>
      <c r="CD47" s="52"/>
      <c r="CE47" s="54"/>
      <c r="CF47" s="128"/>
      <c r="CG47" s="114"/>
      <c r="CH47" s="55"/>
      <c r="CI47" s="56"/>
      <c r="CJ47" s="57" t="s">
        <v>78</v>
      </c>
      <c r="CK47" s="58"/>
      <c r="CL47" s="59">
        <f>IFERROR(IF(FIND(CL$1,$W47)&gt;0,IF(INDEX([1]!Product_Pricing_Table[#Data],MATCH(CL$1,Products,0),2)="Cores",IF(HostBuild[Use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7" s="59">
        <f>IFERROR(IF(FIND(CM$1,$W47)&gt;0,IF(INDEX([1]!Product_Pricing_Table[#Data],MATCH(CM$1,Products,0),2)="Cores",IF(HostBuild[Use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7" s="59">
        <f>IFERROR(IF(FIND(CN$1,$W47)&gt;0,IF(INDEX([1]!Product_Pricing_Table[#Data],MATCH(CN$1,Products,0),2)="Cores",IF(HostBuild[Use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7" s="59">
        <f>IFERROR(IF(FIND(CO$1,$W47)&gt;0,IF(INDEX([1]!Product_Pricing_Table[#Data],MATCH(CO$1,Products,0),2)="Cores",IF(HostBuild[Use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7" s="59">
        <f>IFERROR(IF(FIND(CP$1,$W47)&gt;0,IF(INDEX([1]!Product_Pricing_Table[#Data],MATCH(CP$1,Products,0),2)="Cores",IF(HostBuild[Use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7" s="59">
        <f>IFERROR(IF(FIND(CQ$1,$W47)&gt;0,IF(INDEX([1]!Product_Pricing_Table[#Data],MATCH(CQ$1,Products,0),2)="Cores",IF(HostBuild[Use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7" s="59">
        <f>IFERROR(IF(FIND(CR$1,$W47)&gt;0,IF(INDEX([1]!Product_Pricing_Table[#Data],MATCH(CR$1,Products,0),2)="Cores",IF(HostBuild[Use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7" s="59">
        <f>IFERROR(IF(FIND(CS$1,$W47)&gt;0,IF(INDEX([1]!Product_Pricing_Table[#Data],MATCH(CS$1,Products,0),2)="Cores",IF(HostBuild[Use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7" s="59">
        <f>IFERROR(IF(FIND(CT$1,$W47)&gt;0,IF(INDEX([1]!Product_Pricing_Table[#Data],MATCH(CT$1,Products,0),2)="Cores",IF(HostBuild[Use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7" s="59">
        <f>IFERROR(IF(FIND(CU$1,$W47)&gt;0,IF(INDEX([1]!Product_Pricing_Table[#Data],MATCH(CU$1,Products,0),2)="Cores",IF(HostBuild[Use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7" s="59">
        <f>IFERROR(IF(FIND(CV$1,$W47)&gt;0,IF(INDEX([1]!Product_Pricing_Table[#Data],MATCH(CV$1,Products,0),2)="Cores",IF(HostBuild[Use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7" s="59">
        <f>IFERROR(IF(FIND(CW$1,$W47)&gt;0,IF(INDEX([1]!Product_Pricing_Table[#Data],MATCH(CW$1,Products,0),2)="Cores",IF(HostBuild[Use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7" s="59">
        <f>IFERROR(IF(FIND(CX$1,$W47)&gt;0,IF(INDEX([1]!Product_Pricing_Table[#Data],MATCH(CX$1,Products,0),2)="Cores",IF(HostBuild[Use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7" s="59">
        <f>IFERROR(IF(FIND(CY$1,$W47)&gt;0,IF(INDEX([1]!Product_Pricing_Table[#Data],MATCH(CY$1,Products,0),2)="Cores",IF(HostBuild[Use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7" s="59">
        <f>IFERROR(IF(FIND(CZ$1,$W47)&gt;0,IF(INDEX([1]!Product_Pricing_Table[#Data],MATCH(CZ$1,Products,0),2)="Cores",IF(HostBuild[Use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7" s="59">
        <f>IFERROR(IF(FIND(DA$1,$W47)&gt;0,IF(INDEX([1]!Product_Pricing_Table[#Data],MATCH(DA$1,Products,0),2)="Cores",IF(HostBuild[Use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7" s="59">
        <f>IFERROR(IF(FIND(DB$1,$W47)&gt;0,IF(INDEX([1]!Product_Pricing_Table[#Data],MATCH(DB$1,Products,0),2)="Cores",IF(HostBuild[Use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7" s="59">
        <f>IFERROR(IF(FIND(DC$1,$W47)&gt;0,IF(INDEX([1]!Product_Pricing_Table[#Data],MATCH(DC$1,Products,0),2)="Cores",IF(HostBuild[Use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7" s="59">
        <f>IFERROR(IF(FIND(DD$1,$W47)&gt;0,IF(INDEX([1]!Product_Pricing_Table[#Data],MATCH(DD$1,Products,0),2)="Cores",IF(HostBuild[Use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7" s="59">
        <f>IFERROR(IF(FIND(DE$1,$W47)&gt;0,IF(INDEX([1]!Product_Pricing_Table[#Data],MATCH(DE$1,Products,0),2)="Cores",IF(HostBuild[Use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7" s="60">
        <f>IFERROR(IF(FIND(DF$1,$W47)&gt;0,IF(INDEX([1]!Product_Pricing_Table[#Data],MATCH(DF$1,Products,0),2)="Cores",IF(HostBuild[Use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7" s="60">
        <f>IFERROR(IF(FIND(DG$1,$W47)&gt;0,IF(INDEX([1]!Product_Pricing_Table[#Data],MATCH(DG$1,Products,0),2)="Cores",IF(HostBuild[Use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7" s="59">
        <f>IFERROR(IF(FIND(DH$1,$W47)&gt;0,IF(INDEX([1]!Product_Pricing_Table[#Data],MATCH(DH$1,Products,0),2)="Cores",IF(HostBuild[Use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7" s="60">
        <f>IFERROR(IF(FIND(DI$1,$W47)&gt;0,IF(INDEX([1]!Product_Pricing_Table[#Data],MATCH(DI$1,Products,0),2)="Cores",IF(HostBuild[Use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7" s="59">
        <f>IFERROR(IF(FIND(DJ$1,$W47)&gt;0,IF(INDEX([1]!Product_Pricing_Table[#Data],MATCH(DJ$1,Products,0),2)="Cores",IF(HostBuild[Use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7" s="59">
        <f>IFERROR(IF(FIND(DK$1,$W47)&gt;0,IF(INDEX([1]!Product_Pricing_Table[#Data],MATCH(DK$1,Products,0),2)="Cores",IF(HostBuild[Use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7" s="59">
        <f>IFERROR(IF(FIND(DL$1,$W47)&gt;0,IF(INDEX([1]!Product_Pricing_Table[#Data],MATCH(DL$1,Products,0),2)="Cores",IF(HostBuild[Use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7" s="59">
        <f>IFERROR(IF(FIND(DM$1,$W47)&gt;0,IF(INDEX([1]!Product_Pricing_Table[#Data],MATCH(DM$1,Products,0),2)="Cores",IF(HostBuild[Use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7" s="59">
        <f>IFERROR(IF(FIND(DN$1,$W47)&gt;0,IF(INDEX([1]!Product_Pricing_Table[#Data],MATCH(DN$1,Products,0),2)="Cores",IF(HostBuild[Use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7" s="59">
        <f>IFERROR(IF(FIND(DO$1,$W47)&gt;0,IF(INDEX([1]!Product_Pricing_Table[#Data],MATCH(DO$1,Products,0),2)="Cores",IF(HostBuild[Use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7" s="59">
        <f>IFERROR(IF(FIND(DP$1,$W47)&gt;0,IF(INDEX([1]!Product_Pricing_Table[#Data],MATCH(DP$1,Products,0),2)="Cores",IF(HostBuild[Use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7" s="59">
        <f>IFERROR(IF(FIND(DQ$1,$W47)&gt;0,IF(INDEX([1]!Product_Pricing_Table[#Data],MATCH(DQ$1,Products,0),2)="Cores",IF(HostBuild[Use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7" s="59">
        <f>IFERROR(IF(FIND(DR$1,$W47)&gt;0,IF(INDEX([1]!Product_Pricing_Table[#Data],MATCH(DR$1,Products,0),2)="Cores",IF(HostBuild[Use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7" s="59">
        <f>IFERROR(IF(FIND(DS$1,$W47)&gt;0,IF(INDEX([1]!Product_Pricing_Table[#Data],MATCH(DS$1,Products,0),2)="Cores",IF(HostBuild[Use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7" s="59">
        <f>IFERROR(IF(FIND(DT$1,$W47)&gt;0,IF(INDEX([1]!Product_Pricing_Table[#Data],MATCH(DT$1,Products,0),2)="Cores",IF(HostBuild[Use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7" s="59">
        <f>IFERROR(IF(FIND(DU$1,$W47)&gt;0,IF(INDEX([1]!Product_Pricing_Table[#Data],MATCH(DU$1,Products,0),2)="Cores",IF(HostBuild[Use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7" s="59">
        <f>IFERROR(IF(FIND(DV$1,$W47)&gt;0,IF(INDEX([1]!Product_Pricing_Table[#Data],MATCH(DV$1,Products,0),2)="Cores",IF(HostBuild[Use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7" s="59">
        <f>IFERROR(IF(FIND(DW$1,$W47)&gt;0,IF(INDEX([1]!Product_Pricing_Table[#Data],MATCH(DW$1,Products,0),2)="Cores",IF(HostBuild[Use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7" s="59">
        <f>IFERROR(IF(FIND(DX$1,$W47)&gt;0,IF(INDEX([1]!Product_Pricing_Table[#Data],MATCH(DX$1,Products,0),2)="Cores",IF(HostBuild[Use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7" s="59">
        <f>IFERROR(IF(FIND(DY$1,$W47)&gt;0,IF(INDEX([1]!Product_Pricing_Table[#Data],MATCH(DY$1,Products,0),2)="Cores",IF(HostBuild[Use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7" s="59">
        <f>IFERROR(IF(FIND(DZ$1,$W47)&gt;0,IF(INDEX([1]!Product_Pricing_Table[#Data],MATCH(DZ$1,Products,0),2)="Cores",IF(HostBuild[Use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7" s="59">
        <f>IFERROR(IF(FIND(EA$1,$W47)&gt;0,IF(INDEX([1]!Product_Pricing_Table[#Data],MATCH(EA$1,Products,0),2)="Cores",IF(HostBuild[Use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7" s="59">
        <f>IFERROR(IF(FIND(EB$1,$W47)&gt;0,IF(INDEX([1]!Product_Pricing_Table[#Data],MATCH(EB$1,Products,0),2)="Cores",IF(HostBuild[Use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7" s="60">
        <f>IFERROR(IF(FIND(EC$1,$W47)&gt;0,IF(INDEX([1]!Product_Pricing_Table[#Data],MATCH(EC$1,Products,0),2)="Cores",IF(HostBuild[Use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7" s="59">
        <f>IFERROR(IF(FIND(ED$1,$W47)&gt;0,IF(INDEX([1]!Product_Pricing_Table[#Data],MATCH(ED$1,Products,0),2)="Cores",IF(HostBuild[Use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7" s="59">
        <f>IFERROR(IF(FIND(EE$1,$W47)&gt;0,IF(INDEX([1]!Product_Pricing_Table[#Data],MATCH(EE$1,Products,0),2)="Cores",IF(HostBuild[Use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7" s="59">
        <f>IFERROR(IF(FIND(EF$1,$W47)&gt;0,IF(INDEX([1]!Product_Pricing_Table[#Data],MATCH(EF$1,Products,0),2)="Cores",IF(HostBuild[Use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7" s="59">
        <f>IFERROR(IF(FIND(EG$1,$W47)&gt;0,IF(INDEX([1]!Product_Pricing_Table[#Data],MATCH(EG$1,Products,0),2)="Cores",IF(HostBuild[Use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7" s="59">
        <f>IFERROR(IF(FIND(EH$1,$W47)&gt;0,IF(INDEX([1]!Product_Pricing_Table[#Data],MATCH(EH$1,Products,0),2)="Cores",IF(HostBuild[Use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7" s="59">
        <f>IFERROR(IF(FIND(EI$1,$W47)&gt;0,IF(INDEX([1]!Product_Pricing_Table[#Data],MATCH(EI$1,Products,0),2)="Cores",IF(HostBuild[Use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7" s="59">
        <f>IFERROR(IF(FIND(EJ$1,$W47)&gt;0,IF(INDEX([1]!Product_Pricing_Table[#Data],MATCH(EJ$1,Products,0),2)="Cores",IF(HostBuild[Use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7" s="60">
        <f>IFERROR(IF(FIND(EK$1,$W47)&gt;0,IF(INDEX([1]!Product_Pricing_Table[#Data],MATCH(EK$1,Products,0),2)="Cores",IF(HostBuild[Use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7" s="61"/>
      <c r="EM47" s="62">
        <v>6359.75</v>
      </c>
      <c r="EN47" s="63">
        <v>899.755</v>
      </c>
      <c r="EO47"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4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7" s="132">
        <f>(HostBuild[Archive
Full (GB)]+HostBuild[Archive
Incr (GB)])*Storage_DC_Dist_Tape_2014</f>
        <v>0</v>
      </c>
      <c r="ER47" s="132">
        <f>IF(ISNUMBER(HostBuild[Server HW Costs
(Monthly)]),SUM(HostBuild[[#This Row],[Server HW Costs
(Monthly)]:[Tape Costs
(Monthly)]]),0)</f>
        <v>1003.9</v>
      </c>
      <c r="ES47" s="65">
        <f>HostBuild[Software Costs
'[Year 1']
(Monthly)]+HostBuild[Total Hardware Costs
(Monthly)]</f>
        <v>7363.65</v>
      </c>
      <c r="ET47" s="65">
        <f>IFERROR(IF(FIND("Safenet",HostBuild[Server Model]),Safenet_PSE_PL600_Maint,0),0)+IFERROR(IF(FIND("XI52",HostBuild[Server Model]),IBM_DIA_XI52_Maint,0),0)+HostBuild[Software Costs
'[After Year 1']
(Monthly)]+HostBuild[Total Hardware Costs
(Monthly)]</f>
        <v>1903.655</v>
      </c>
      <c r="EU47" s="66">
        <f>SUM(HostBuild[[#This Row],[Server Cost Breakdown]:[Network Cost]])</f>
        <v>1003.9</v>
      </c>
      <c r="EV47" s="67">
        <f>IF(HostBuild[Existing Server?]="Yes - Inside this BoM",0,SUMIF(HostBuild[Alias],HostBuild[Alias],HostBuild[CPU])+SUMIF(HostBuild[Alias],HostBuild[Alias],HostBuild[Existing CPUs]))</f>
        <v>2</v>
      </c>
      <c r="EW47" s="67">
        <f>IF(HostBuild[Existing Server?]="Yes - Inside this BoM",0,SUMIF(HostBuild[Alias],HostBuild[Alias],HostBuild[Cores 
(Licensed Units)])+SUMIF(HostBuild[Alias],HostBuild[Alias],HostBuild[Existing Cores]))</f>
        <v>0</v>
      </c>
      <c r="EX47" s="67">
        <f>IF(HostBuild[Existing Server?]="Yes - Inside this BoM",0,SUMIF(HostBuild[Alias],HostBuild[Alias],HostBuild[RAM 
(GB)])+SUMIF(HostBuild[Alias],HostBuild[Alias],HostBuild[Existing RAM (GB)]))</f>
        <v>256</v>
      </c>
      <c r="EY4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7" s="66">
        <f>IF(ISBLANK(HostBuild[Server Model]),0,IF(HostBuild[Server Tier]="VMware",0,VLOOKUP(HostBuild[Server Tier],[1]!ServerTierRates[#Data],2,0))*HostBuild[CPU]*IF(AND(HostBuild[Server Type]="pSeries",HostBuild[Virtual Platform Storage Type]="Cloud-SAN"),0.25,1))</f>
        <v>608</v>
      </c>
      <c r="FD47" s="66">
        <f>0</f>
        <v>0</v>
      </c>
      <c r="FE47" s="66">
        <f>IF(HostBuild[Server Type]="VMware",HostBuild[RAM 
(GB)]*IF(ISERROR(FIND("DevCloud", HostBuild[Server Model])&gt;0),vRAM_per_vCPU_2014_Monthly,vRAM_per_vCPU_2014_Daily*30),0)</f>
        <v>0</v>
      </c>
      <c r="FF4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4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7" s="69">
        <f>IF(HostBuild[Server Tier]="VMware",0,IF(LEFT(HostBuild[Existing Server?],3)="Yes",0,IF(OR(HostBuild[Server Type]="Sun",HostBuild[Server Type]="pSeries"),Support_Direct_Server_Sun_per_OS_2014,IF(HostBuild[Server Type]="x86",Support_Direct_Server_x86_Wintel_per_OS_2014,0))))</f>
        <v>187.1</v>
      </c>
      <c r="FI4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8" spans="1:165" hidden="1">
      <c r="A48" s="122" t="s">
        <v>53</v>
      </c>
      <c r="B48" s="36"/>
      <c r="C48" s="36"/>
      <c r="D48" s="36"/>
      <c r="E48" s="37"/>
      <c r="F48" s="37"/>
      <c r="G48" s="103"/>
      <c r="H48" s="103"/>
      <c r="I48" s="38"/>
      <c r="J48" s="37"/>
      <c r="K48" s="37"/>
      <c r="L48" s="37"/>
      <c r="M48" s="103" t="e">
        <f ca="1">IF(rngIsDate(HostBuild[CTO Acceptance]),"Y","N")</f>
        <v>#NAME?</v>
      </c>
      <c r="N48" s="123" t="s">
        <v>3</v>
      </c>
      <c r="O48" s="39"/>
      <c r="P48" s="39"/>
      <c r="Q48" s="123" t="s">
        <v>52</v>
      </c>
      <c r="R48" s="126" t="str">
        <f>IF(NOT(ISBLANK(HostBuild[Env Label])),IFERROR(VLOOKUP(HostBuild[Env Label],[1]!tEnv[#Data],3,FALSE),""),"")</f>
        <v/>
      </c>
      <c r="S48" s="104"/>
      <c r="T48" s="40"/>
      <c r="U48" s="105"/>
      <c r="V48" s="123" t="s">
        <v>75</v>
      </c>
      <c r="W48" s="123" t="s">
        <v>70</v>
      </c>
      <c r="X48" s="123" t="s">
        <v>57</v>
      </c>
      <c r="Y48" s="123" t="s">
        <v>58</v>
      </c>
      <c r="Z48" s="126" t="str">
        <f>IF(NOT(ISBLANK(HostBuild[[#This Row],[Product 
(Acronym)]])),CONCATENATE(HostBuild[[#This Row],[Type]],"-",HostBuild[[#This Row],[Product 
(Acronym)]]),"")</f>
        <v>AP-ESB</v>
      </c>
      <c r="AA48" s="106"/>
      <c r="AB48" s="106" t="s">
        <v>76</v>
      </c>
      <c r="AC48" s="41"/>
      <c r="AD48" s="42"/>
      <c r="AE48" s="42"/>
      <c r="AF48" s="43"/>
      <c r="AG48" s="124"/>
      <c r="AH48" s="107"/>
      <c r="AI48" s="124" t="s">
        <v>131</v>
      </c>
      <c r="AJ48" s="123">
        <f>IF(COUNTIF(HostBuild[Alias],HostBuild[Alias]),1/COUNTIF(HostBuild[Alias],HostBuild[Alias]),0)</f>
        <v>1</v>
      </c>
      <c r="AK48" s="124"/>
      <c r="AL48" s="124"/>
      <c r="AM48" s="44" t="s">
        <v>62</v>
      </c>
      <c r="AN48" s="45" t="str">
        <f>IF(NOT(ISBLANK(HostBuild[Server Model])),VLOOKUP(HostBuild[Server Model],[1]!ServerModelsTier[#Data],2,FALSE),"")</f>
        <v>x86 Tier 3</v>
      </c>
      <c r="AO48" s="45" t="str">
        <f>IF(NOT(ISBLANK(HostBuild[Server Model])),VLOOKUP(HostBuild[Server Model],[1]!ServerModelsTier[#Data],5,FALSE),"")</f>
        <v>x86</v>
      </c>
      <c r="AP48" s="44"/>
      <c r="AQ48" s="44" t="s">
        <v>63</v>
      </c>
      <c r="AR48" s="46">
        <v>2</v>
      </c>
      <c r="AS48" s="108"/>
      <c r="AT48" s="47"/>
      <c r="AU48" s="109" t="str">
        <f>IF(IFERROR(FIND("P-Series",HostBuild[Server Tier]),0),CEILING((HostBuild[Existing CPUs]+HostBuild[CPU])*16,8),"")</f>
        <v/>
      </c>
      <c r="AV48" s="48">
        <v>256</v>
      </c>
      <c r="AW48" s="124"/>
      <c r="AX48" s="124"/>
      <c r="AY48" s="124"/>
      <c r="AZ48" s="49"/>
      <c r="BA48" s="124"/>
      <c r="BB48" s="124"/>
      <c r="BC48" s="42"/>
      <c r="BD48" s="124"/>
      <c r="BE48" s="124"/>
      <c r="BF48" s="124"/>
      <c r="BG48" s="124"/>
      <c r="BH48" s="124"/>
      <c r="BI48" s="124"/>
      <c r="BJ48" s="124"/>
      <c r="BK48" s="133"/>
      <c r="BL48" s="127"/>
      <c r="BM48" s="129">
        <f>IF(ISNUMBER(HostBuild[Recommended SAN (GB)]),HostBuild[Recommended SAN (GB)])+IF(HostBuild[Additional SAN (GB)]&gt;0,CEILING(HostBuild[Additional SAN (GB)],LUN),-(CEILING(-HostBuild[Additional SAN (GB)],LUN)))</f>
        <v>0</v>
      </c>
      <c r="BN48" s="128"/>
      <c r="BO48" s="129">
        <f>HostBuild[SAN (GB)
NEEDED TODAY]+CEILING(HostBuild[SAN (GB)
RESERVED
DO NOT USE TO BUILD], LUN)</f>
        <v>0</v>
      </c>
      <c r="BP48" s="130"/>
      <c r="BQ48" s="131"/>
      <c r="BR48" s="125" t="s">
        <v>64</v>
      </c>
      <c r="BS48" s="110">
        <f>IF(HostBuild[Existing Server?]&lt;&gt;"Yes - Inside this BoM",IF(ISNUMBER(HostBuild[RAM 
(GB)]),IF(HostBuild[Existing RAM (GB)]+HostBuild[RAM 
(GB)]&gt;0,IF(HostBuild[Virtual Platform Storage Type]="NAS",110+HostBuild[Existing RAM (GB)]+HostBuild[RAM 
(GB)]*1.75,0),0),0),0)</f>
        <v>0</v>
      </c>
      <c r="BT48" s="111"/>
      <c r="BU48" s="112">
        <f>IF(ISNUMBER(HostBuild[Recommended NAS (GB)]),HostBuild[Recommended NAS (GB)])+HostBuild[Additional NAS (GB)]</f>
        <v>0</v>
      </c>
      <c r="BV48" s="50"/>
      <c r="BW48" s="50"/>
      <c r="BX48" s="133">
        <f>IFERROR((HostBuild[SAN (GB)
End-State
DO NOT USE TO BUILD]+HostBuild[SAN (GB) Shared])*25%,"")</f>
        <v>0</v>
      </c>
      <c r="BY48" s="113">
        <f>IFERROR(HostBuild[Archive
Full (GB)]*15%,"")</f>
        <v>0</v>
      </c>
      <c r="BZ48" s="51"/>
      <c r="CA48" s="51"/>
      <c r="CB48" s="52"/>
      <c r="CC48" s="53"/>
      <c r="CD48" s="52"/>
      <c r="CE48" s="54"/>
      <c r="CF48" s="128"/>
      <c r="CG48" s="114"/>
      <c r="CH48" s="55"/>
      <c r="CI48" s="56"/>
      <c r="CJ48" s="57" t="s">
        <v>78</v>
      </c>
      <c r="CK48" s="58"/>
      <c r="CL48" s="59">
        <f>IFERROR(IF(FIND(CL$1,$W48)&gt;0,IF(INDEX([1]!Product_Pricing_Table[#Data],MATCH(CL$1,Products,0),2)="Cores",IF(HostBuild[Use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8" s="59">
        <f>IFERROR(IF(FIND(CM$1,$W48)&gt;0,IF(INDEX([1]!Product_Pricing_Table[#Data],MATCH(CM$1,Products,0),2)="Cores",IF(HostBuild[Use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8" s="59">
        <f>IFERROR(IF(FIND(CN$1,$W48)&gt;0,IF(INDEX([1]!Product_Pricing_Table[#Data],MATCH(CN$1,Products,0),2)="Cores",IF(HostBuild[Use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8" s="59">
        <f>IFERROR(IF(FIND(CO$1,$W48)&gt;0,IF(INDEX([1]!Product_Pricing_Table[#Data],MATCH(CO$1,Products,0),2)="Cores",IF(HostBuild[Use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8" s="59">
        <f>IFERROR(IF(FIND(CP$1,$W48)&gt;0,IF(INDEX([1]!Product_Pricing_Table[#Data],MATCH(CP$1,Products,0),2)="Cores",IF(HostBuild[Use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8" s="59">
        <f>IFERROR(IF(FIND(CQ$1,$W48)&gt;0,IF(INDEX([1]!Product_Pricing_Table[#Data],MATCH(CQ$1,Products,0),2)="Cores",IF(HostBuild[Use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8" s="59">
        <f>IFERROR(IF(FIND(CR$1,$W48)&gt;0,IF(INDEX([1]!Product_Pricing_Table[#Data],MATCH(CR$1,Products,0),2)="Cores",IF(HostBuild[Use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8" s="59">
        <f>IFERROR(IF(FIND(CS$1,$W48)&gt;0,IF(INDEX([1]!Product_Pricing_Table[#Data],MATCH(CS$1,Products,0),2)="Cores",IF(HostBuild[Use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8" s="59">
        <f>IFERROR(IF(FIND(CT$1,$W48)&gt;0,IF(INDEX([1]!Product_Pricing_Table[#Data],MATCH(CT$1,Products,0),2)="Cores",IF(HostBuild[Use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8" s="59">
        <f>IFERROR(IF(FIND(CU$1,$W48)&gt;0,IF(INDEX([1]!Product_Pricing_Table[#Data],MATCH(CU$1,Products,0),2)="Cores",IF(HostBuild[Use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8" s="59">
        <f>IFERROR(IF(FIND(CV$1,$W48)&gt;0,IF(INDEX([1]!Product_Pricing_Table[#Data],MATCH(CV$1,Products,0),2)="Cores",IF(HostBuild[Use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8" s="59">
        <f>IFERROR(IF(FIND(CW$1,$W48)&gt;0,IF(INDEX([1]!Product_Pricing_Table[#Data],MATCH(CW$1,Products,0),2)="Cores",IF(HostBuild[Use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8" s="59">
        <f>IFERROR(IF(FIND(CX$1,$W48)&gt;0,IF(INDEX([1]!Product_Pricing_Table[#Data],MATCH(CX$1,Products,0),2)="Cores",IF(HostBuild[Use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8" s="59">
        <f>IFERROR(IF(FIND(CY$1,$W48)&gt;0,IF(INDEX([1]!Product_Pricing_Table[#Data],MATCH(CY$1,Products,0),2)="Cores",IF(HostBuild[Use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8" s="59">
        <f>IFERROR(IF(FIND(CZ$1,$W48)&gt;0,IF(INDEX([1]!Product_Pricing_Table[#Data],MATCH(CZ$1,Products,0),2)="Cores",IF(HostBuild[Use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8" s="59">
        <f>IFERROR(IF(FIND(DA$1,$W48)&gt;0,IF(INDEX([1]!Product_Pricing_Table[#Data],MATCH(DA$1,Products,0),2)="Cores",IF(HostBuild[Use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8" s="59">
        <f>IFERROR(IF(FIND(DB$1,$W48)&gt;0,IF(INDEX([1]!Product_Pricing_Table[#Data],MATCH(DB$1,Products,0),2)="Cores",IF(HostBuild[Use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8" s="59">
        <f>IFERROR(IF(FIND(DC$1,$W48)&gt;0,IF(INDEX([1]!Product_Pricing_Table[#Data],MATCH(DC$1,Products,0),2)="Cores",IF(HostBuild[Use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8" s="59">
        <f>IFERROR(IF(FIND(DD$1,$W48)&gt;0,IF(INDEX([1]!Product_Pricing_Table[#Data],MATCH(DD$1,Products,0),2)="Cores",IF(HostBuild[Use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8" s="59">
        <f>IFERROR(IF(FIND(DE$1,$W48)&gt;0,IF(INDEX([1]!Product_Pricing_Table[#Data],MATCH(DE$1,Products,0),2)="Cores",IF(HostBuild[Use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8" s="60">
        <f>IFERROR(IF(FIND(DF$1,$W48)&gt;0,IF(INDEX([1]!Product_Pricing_Table[#Data],MATCH(DF$1,Products,0),2)="Cores",IF(HostBuild[Use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8" s="60">
        <f>IFERROR(IF(FIND(DG$1,$W48)&gt;0,IF(INDEX([1]!Product_Pricing_Table[#Data],MATCH(DG$1,Products,0),2)="Cores",IF(HostBuild[Use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8" s="59">
        <f>IFERROR(IF(FIND(DH$1,$W48)&gt;0,IF(INDEX([1]!Product_Pricing_Table[#Data],MATCH(DH$1,Products,0),2)="Cores",IF(HostBuild[Use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8" s="60">
        <f>IFERROR(IF(FIND(DI$1,$W48)&gt;0,IF(INDEX([1]!Product_Pricing_Table[#Data],MATCH(DI$1,Products,0),2)="Cores",IF(HostBuild[Use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8" s="59">
        <f>IFERROR(IF(FIND(DJ$1,$W48)&gt;0,IF(INDEX([1]!Product_Pricing_Table[#Data],MATCH(DJ$1,Products,0),2)="Cores",IF(HostBuild[Use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8" s="59">
        <f>IFERROR(IF(FIND(DK$1,$W48)&gt;0,IF(INDEX([1]!Product_Pricing_Table[#Data],MATCH(DK$1,Products,0),2)="Cores",IF(HostBuild[Use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8" s="59">
        <f>IFERROR(IF(FIND(DL$1,$W48)&gt;0,IF(INDEX([1]!Product_Pricing_Table[#Data],MATCH(DL$1,Products,0),2)="Cores",IF(HostBuild[Use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8" s="59">
        <f>IFERROR(IF(FIND(DM$1,$W48)&gt;0,IF(INDEX([1]!Product_Pricing_Table[#Data],MATCH(DM$1,Products,0),2)="Cores",IF(HostBuild[Use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8" s="59">
        <f>IFERROR(IF(FIND(DN$1,$W48)&gt;0,IF(INDEX([1]!Product_Pricing_Table[#Data],MATCH(DN$1,Products,0),2)="Cores",IF(HostBuild[Use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8" s="59">
        <f>IFERROR(IF(FIND(DO$1,$W48)&gt;0,IF(INDEX([1]!Product_Pricing_Table[#Data],MATCH(DO$1,Products,0),2)="Cores",IF(HostBuild[Use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8" s="59">
        <f>IFERROR(IF(FIND(DP$1,$W48)&gt;0,IF(INDEX([1]!Product_Pricing_Table[#Data],MATCH(DP$1,Products,0),2)="Cores",IF(HostBuild[Use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8" s="59">
        <f>IFERROR(IF(FIND(DQ$1,$W48)&gt;0,IF(INDEX([1]!Product_Pricing_Table[#Data],MATCH(DQ$1,Products,0),2)="Cores",IF(HostBuild[Use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8" s="59">
        <f>IFERROR(IF(FIND(DR$1,$W48)&gt;0,IF(INDEX([1]!Product_Pricing_Table[#Data],MATCH(DR$1,Products,0),2)="Cores",IF(HostBuild[Use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8" s="59">
        <f>IFERROR(IF(FIND(DS$1,$W48)&gt;0,IF(INDEX([1]!Product_Pricing_Table[#Data],MATCH(DS$1,Products,0),2)="Cores",IF(HostBuild[Use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8" s="59">
        <f>IFERROR(IF(FIND(DT$1,$W48)&gt;0,IF(INDEX([1]!Product_Pricing_Table[#Data],MATCH(DT$1,Products,0),2)="Cores",IF(HostBuild[Use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8" s="59">
        <f>IFERROR(IF(FIND(DU$1,$W48)&gt;0,IF(INDEX([1]!Product_Pricing_Table[#Data],MATCH(DU$1,Products,0),2)="Cores",IF(HostBuild[Use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8" s="59">
        <f>IFERROR(IF(FIND(DV$1,$W48)&gt;0,IF(INDEX([1]!Product_Pricing_Table[#Data],MATCH(DV$1,Products,0),2)="Cores",IF(HostBuild[Use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8" s="59">
        <f>IFERROR(IF(FIND(DW$1,$W48)&gt;0,IF(INDEX([1]!Product_Pricing_Table[#Data],MATCH(DW$1,Products,0),2)="Cores",IF(HostBuild[Use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8" s="59">
        <f>IFERROR(IF(FIND(DX$1,$W48)&gt;0,IF(INDEX([1]!Product_Pricing_Table[#Data],MATCH(DX$1,Products,0),2)="Cores",IF(HostBuild[Use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8" s="59">
        <f>IFERROR(IF(FIND(DY$1,$W48)&gt;0,IF(INDEX([1]!Product_Pricing_Table[#Data],MATCH(DY$1,Products,0),2)="Cores",IF(HostBuild[Use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8" s="59">
        <f>IFERROR(IF(FIND(DZ$1,$W48)&gt;0,IF(INDEX([1]!Product_Pricing_Table[#Data],MATCH(DZ$1,Products,0),2)="Cores",IF(HostBuild[Use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8" s="59">
        <f>IFERROR(IF(FIND(EA$1,$W48)&gt;0,IF(INDEX([1]!Product_Pricing_Table[#Data],MATCH(EA$1,Products,0),2)="Cores",IF(HostBuild[Use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8" s="59">
        <f>IFERROR(IF(FIND(EB$1,$W48)&gt;0,IF(INDEX([1]!Product_Pricing_Table[#Data],MATCH(EB$1,Products,0),2)="Cores",IF(HostBuild[Use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8" s="60">
        <f>IFERROR(IF(FIND(EC$1,$W48)&gt;0,IF(INDEX([1]!Product_Pricing_Table[#Data],MATCH(EC$1,Products,0),2)="Cores",IF(HostBuild[Use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8" s="59">
        <f>IFERROR(IF(FIND(ED$1,$W48)&gt;0,IF(INDEX([1]!Product_Pricing_Table[#Data],MATCH(ED$1,Products,0),2)="Cores",IF(HostBuild[Use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8" s="59">
        <f>IFERROR(IF(FIND(EE$1,$W48)&gt;0,IF(INDEX([1]!Product_Pricing_Table[#Data],MATCH(EE$1,Products,0),2)="Cores",IF(HostBuild[Use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8" s="59">
        <f>IFERROR(IF(FIND(EF$1,$W48)&gt;0,IF(INDEX([1]!Product_Pricing_Table[#Data],MATCH(EF$1,Products,0),2)="Cores",IF(HostBuild[Use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8" s="59">
        <f>IFERROR(IF(FIND(EG$1,$W48)&gt;0,IF(INDEX([1]!Product_Pricing_Table[#Data],MATCH(EG$1,Products,0),2)="Cores",IF(HostBuild[Use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8" s="59">
        <f>IFERROR(IF(FIND(EH$1,$W48)&gt;0,IF(INDEX([1]!Product_Pricing_Table[#Data],MATCH(EH$1,Products,0),2)="Cores",IF(HostBuild[Use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8" s="59">
        <f>IFERROR(IF(FIND(EI$1,$W48)&gt;0,IF(INDEX([1]!Product_Pricing_Table[#Data],MATCH(EI$1,Products,0),2)="Cores",IF(HostBuild[Use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8" s="59">
        <f>IFERROR(IF(FIND(EJ$1,$W48)&gt;0,IF(INDEX([1]!Product_Pricing_Table[#Data],MATCH(EJ$1,Products,0),2)="Cores",IF(HostBuild[Use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8" s="60">
        <f>IFERROR(IF(FIND(EK$1,$W48)&gt;0,IF(INDEX([1]!Product_Pricing_Table[#Data],MATCH(EK$1,Products,0),2)="Cores",IF(HostBuild[Use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8" s="61"/>
      <c r="EM48" s="62"/>
      <c r="EN48" s="63"/>
      <c r="EO48"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4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8" s="132">
        <f>(HostBuild[Archive
Full (GB)]+HostBuild[Archive
Incr (GB)])*Storage_DC_Dist_Tape_2014</f>
        <v>0</v>
      </c>
      <c r="ER48" s="132">
        <f>IF(ISNUMBER(HostBuild[Server HW Costs
(Monthly)]),SUM(HostBuild[[#This Row],[Server HW Costs
(Monthly)]:[Tape Costs
(Monthly)]]),0)</f>
        <v>1003.9</v>
      </c>
      <c r="ES48" s="65">
        <f>HostBuild[Software Costs
'[Year 1']
(Monthly)]+HostBuild[Total Hardware Costs
(Monthly)]</f>
        <v>1003.9</v>
      </c>
      <c r="ET48" s="65">
        <f>IFERROR(IF(FIND("Safenet",HostBuild[Server Model]),Safenet_PSE_PL600_Maint,0),0)+IFERROR(IF(FIND("XI52",HostBuild[Server Model]),IBM_DIA_XI52_Maint,0),0)+HostBuild[Software Costs
'[After Year 1']
(Monthly)]+HostBuild[Total Hardware Costs
(Monthly)]</f>
        <v>1003.9</v>
      </c>
      <c r="EU48" s="66">
        <f>SUM(HostBuild[[#This Row],[Server Cost Breakdown]:[Network Cost]])</f>
        <v>1003.9</v>
      </c>
      <c r="EV48" s="67">
        <f>IF(HostBuild[Existing Server?]="Yes - Inside this BoM",0,SUMIF(HostBuild[Alias],HostBuild[Alias],HostBuild[CPU])+SUMIF(HostBuild[Alias],HostBuild[Alias],HostBuild[Existing CPUs]))</f>
        <v>2</v>
      </c>
      <c r="EW48" s="67">
        <f>IF(HostBuild[Existing Server?]="Yes - Inside this BoM",0,SUMIF(HostBuild[Alias],HostBuild[Alias],HostBuild[Cores 
(Licensed Units)])+SUMIF(HostBuild[Alias],HostBuild[Alias],HostBuild[Existing Cores]))</f>
        <v>0</v>
      </c>
      <c r="EX48" s="67">
        <f>IF(HostBuild[Existing Server?]="Yes - Inside this BoM",0,SUMIF(HostBuild[Alias],HostBuild[Alias],HostBuild[RAM 
(GB)])+SUMIF(HostBuild[Alias],HostBuild[Alias],HostBuild[Existing RAM (GB)]))</f>
        <v>256</v>
      </c>
      <c r="EY4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8" s="66">
        <f>IF(ISBLANK(HostBuild[Server Model]),0,IF(HostBuild[Server Tier]="VMware",0,VLOOKUP(HostBuild[Server Tier],[1]!ServerTierRates[#Data],2,0))*HostBuild[CPU]*IF(AND(HostBuild[Server Type]="pSeries",HostBuild[Virtual Platform Storage Type]="Cloud-SAN"),0.25,1))</f>
        <v>608</v>
      </c>
      <c r="FD48" s="66">
        <f>0</f>
        <v>0</v>
      </c>
      <c r="FE48" s="66">
        <f>IF(HostBuild[Server Type]="VMware",HostBuild[RAM 
(GB)]*IF(ISERROR(FIND("DevCloud", HostBuild[Server Model])&gt;0),vRAM_per_vCPU_2014_Monthly,vRAM_per_vCPU_2014_Daily*30),0)</f>
        <v>0</v>
      </c>
      <c r="FF4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4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8" s="69">
        <f>IF(HostBuild[Server Tier]="VMware",0,IF(LEFT(HostBuild[Existing Server?],3)="Yes",0,IF(OR(HostBuild[Server Type]="Sun",HostBuild[Server Type]="pSeries"),Support_Direct_Server_Sun_per_OS_2014,IF(HostBuild[Server Type]="x86",Support_Direct_Server_x86_Wintel_per_OS_2014,0))))</f>
        <v>187.1</v>
      </c>
      <c r="FI4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49" spans="1:165" hidden="1">
      <c r="A49" s="122" t="s">
        <v>53</v>
      </c>
      <c r="B49" s="36"/>
      <c r="C49" s="36"/>
      <c r="D49" s="36"/>
      <c r="E49" s="37"/>
      <c r="F49" s="37"/>
      <c r="G49" s="103"/>
      <c r="H49" s="103"/>
      <c r="I49" s="38"/>
      <c r="J49" s="37"/>
      <c r="K49" s="37"/>
      <c r="L49" s="37"/>
      <c r="M49" s="103" t="e">
        <f ca="1">IF(rngIsDate(HostBuild[CTO Acceptance]),"Y","N")</f>
        <v>#NAME?</v>
      </c>
      <c r="N49" s="123" t="s">
        <v>3</v>
      </c>
      <c r="O49" s="39"/>
      <c r="P49" s="39"/>
      <c r="Q49" s="123" t="s">
        <v>52</v>
      </c>
      <c r="R49" s="126" t="str">
        <f>IF(NOT(ISBLANK(HostBuild[Env Label])),IFERROR(VLOOKUP(HostBuild[Env Label],[1]!tEnv[#Data],3,FALSE),""),"")</f>
        <v/>
      </c>
      <c r="S49" s="104"/>
      <c r="T49" s="40"/>
      <c r="U49" s="105"/>
      <c r="V49" s="123" t="s">
        <v>75</v>
      </c>
      <c r="W49" s="123" t="s">
        <v>70</v>
      </c>
      <c r="X49" s="123" t="s">
        <v>57</v>
      </c>
      <c r="Y49" s="123" t="s">
        <v>58</v>
      </c>
      <c r="Z49" s="126" t="str">
        <f>IF(NOT(ISBLANK(HostBuild[[#This Row],[Product 
(Acronym)]])),CONCATENATE(HostBuild[[#This Row],[Type]],"-",HostBuild[[#This Row],[Product 
(Acronym)]]),"")</f>
        <v>AP-ESB</v>
      </c>
      <c r="AA49" s="106"/>
      <c r="AB49" s="106" t="s">
        <v>76</v>
      </c>
      <c r="AC49" s="41"/>
      <c r="AD49" s="42"/>
      <c r="AE49" s="42"/>
      <c r="AF49" s="43"/>
      <c r="AG49" s="124"/>
      <c r="AH49" s="107"/>
      <c r="AI49" s="124" t="s">
        <v>132</v>
      </c>
      <c r="AJ49" s="123">
        <f>IF(COUNTIF(HostBuild[Alias],HostBuild[Alias]),1/COUNTIF(HostBuild[Alias],HostBuild[Alias]),0)</f>
        <v>1</v>
      </c>
      <c r="AK49" s="124"/>
      <c r="AL49" s="124"/>
      <c r="AM49" s="44" t="s">
        <v>62</v>
      </c>
      <c r="AN49" s="45" t="str">
        <f>IF(NOT(ISBLANK(HostBuild[Server Model])),VLOOKUP(HostBuild[Server Model],[1]!ServerModelsTier[#Data],2,FALSE),"")</f>
        <v>x86 Tier 3</v>
      </c>
      <c r="AO49" s="45" t="str">
        <f>IF(NOT(ISBLANK(HostBuild[Server Model])),VLOOKUP(HostBuild[Server Model],[1]!ServerModelsTier[#Data],5,FALSE),"")</f>
        <v>x86</v>
      </c>
      <c r="AP49" s="44"/>
      <c r="AQ49" s="44" t="s">
        <v>63</v>
      </c>
      <c r="AR49" s="46">
        <v>2</v>
      </c>
      <c r="AS49" s="108"/>
      <c r="AT49" s="47"/>
      <c r="AU49" s="109" t="str">
        <f>IF(IFERROR(FIND("P-Series",HostBuild[Server Tier]),0),CEILING((HostBuild[Existing CPUs]+HostBuild[CPU])*16,8),"")</f>
        <v/>
      </c>
      <c r="AV49" s="48">
        <v>256</v>
      </c>
      <c r="AW49" s="124"/>
      <c r="AX49" s="124"/>
      <c r="AY49" s="124"/>
      <c r="AZ49" s="49"/>
      <c r="BA49" s="124"/>
      <c r="BB49" s="124"/>
      <c r="BC49" s="42"/>
      <c r="BD49" s="124"/>
      <c r="BE49" s="124"/>
      <c r="BF49" s="124"/>
      <c r="BG49" s="124"/>
      <c r="BH49" s="124"/>
      <c r="BI49" s="124"/>
      <c r="BJ49" s="124"/>
      <c r="BK49" s="133"/>
      <c r="BL49" s="127"/>
      <c r="BM49" s="129">
        <f>IF(ISNUMBER(HostBuild[Recommended SAN (GB)]),HostBuild[Recommended SAN (GB)])+IF(HostBuild[Additional SAN (GB)]&gt;0,CEILING(HostBuild[Additional SAN (GB)],LUN),-(CEILING(-HostBuild[Additional SAN (GB)],LUN)))</f>
        <v>0</v>
      </c>
      <c r="BN49" s="128"/>
      <c r="BO49" s="129">
        <f>HostBuild[SAN (GB)
NEEDED TODAY]+CEILING(HostBuild[SAN (GB)
RESERVED
DO NOT USE TO BUILD], LUN)</f>
        <v>0</v>
      </c>
      <c r="BP49" s="130"/>
      <c r="BQ49" s="131"/>
      <c r="BR49" s="125" t="s">
        <v>64</v>
      </c>
      <c r="BS49" s="110">
        <f>IF(HostBuild[Existing Server?]&lt;&gt;"Yes - Inside this BoM",IF(ISNUMBER(HostBuild[RAM 
(GB)]),IF(HostBuild[Existing RAM (GB)]+HostBuild[RAM 
(GB)]&gt;0,IF(HostBuild[Virtual Platform Storage Type]="NAS",110+HostBuild[Existing RAM (GB)]+HostBuild[RAM 
(GB)]*1.75,0),0),0),0)</f>
        <v>0</v>
      </c>
      <c r="BT49" s="111"/>
      <c r="BU49" s="112">
        <f>IF(ISNUMBER(HostBuild[Recommended NAS (GB)]),HostBuild[Recommended NAS (GB)])+HostBuild[Additional NAS (GB)]</f>
        <v>0</v>
      </c>
      <c r="BV49" s="50"/>
      <c r="BW49" s="50"/>
      <c r="BX49" s="133">
        <f>IFERROR((HostBuild[SAN (GB)
End-State
DO NOT USE TO BUILD]+HostBuild[SAN (GB) Shared])*25%,"")</f>
        <v>0</v>
      </c>
      <c r="BY49" s="113">
        <f>IFERROR(HostBuild[Archive
Full (GB)]*15%,"")</f>
        <v>0</v>
      </c>
      <c r="BZ49" s="51"/>
      <c r="CA49" s="51"/>
      <c r="CB49" s="52"/>
      <c r="CC49" s="53"/>
      <c r="CD49" s="52"/>
      <c r="CE49" s="54"/>
      <c r="CF49" s="128"/>
      <c r="CG49" s="114"/>
      <c r="CH49" s="55"/>
      <c r="CI49" s="56"/>
      <c r="CJ49" s="57" t="s">
        <v>78</v>
      </c>
      <c r="CK49" s="58"/>
      <c r="CL49" s="59">
        <f>IFERROR(IF(FIND(CL$1,$W49)&gt;0,IF(INDEX([1]!Product_Pricing_Table[#Data],MATCH(CL$1,Products,0),2)="Cores",IF(HostBuild[Use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49" s="59">
        <f>IFERROR(IF(FIND(CM$1,$W49)&gt;0,IF(INDEX([1]!Product_Pricing_Table[#Data],MATCH(CM$1,Products,0),2)="Cores",IF(HostBuild[Use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49" s="59">
        <f>IFERROR(IF(FIND(CN$1,$W49)&gt;0,IF(INDEX([1]!Product_Pricing_Table[#Data],MATCH(CN$1,Products,0),2)="Cores",IF(HostBuild[Use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49" s="59">
        <f>IFERROR(IF(FIND(CO$1,$W49)&gt;0,IF(INDEX([1]!Product_Pricing_Table[#Data],MATCH(CO$1,Products,0),2)="Cores",IF(HostBuild[Use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49" s="59">
        <f>IFERROR(IF(FIND(CP$1,$W49)&gt;0,IF(INDEX([1]!Product_Pricing_Table[#Data],MATCH(CP$1,Products,0),2)="Cores",IF(HostBuild[Use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49" s="59">
        <f>IFERROR(IF(FIND(CQ$1,$W49)&gt;0,IF(INDEX([1]!Product_Pricing_Table[#Data],MATCH(CQ$1,Products,0),2)="Cores",IF(HostBuild[Use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49" s="59">
        <f>IFERROR(IF(FIND(CR$1,$W49)&gt;0,IF(INDEX([1]!Product_Pricing_Table[#Data],MATCH(CR$1,Products,0),2)="Cores",IF(HostBuild[Use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49" s="59">
        <f>IFERROR(IF(FIND(CS$1,$W49)&gt;0,IF(INDEX([1]!Product_Pricing_Table[#Data],MATCH(CS$1,Products,0),2)="Cores",IF(HostBuild[Use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49" s="59">
        <f>IFERROR(IF(FIND(CT$1,$W49)&gt;0,IF(INDEX([1]!Product_Pricing_Table[#Data],MATCH(CT$1,Products,0),2)="Cores",IF(HostBuild[Use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49" s="59">
        <f>IFERROR(IF(FIND(CU$1,$W49)&gt;0,IF(INDEX([1]!Product_Pricing_Table[#Data],MATCH(CU$1,Products,0),2)="Cores",IF(HostBuild[Use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49" s="59">
        <f>IFERROR(IF(FIND(CV$1,$W49)&gt;0,IF(INDEX([1]!Product_Pricing_Table[#Data],MATCH(CV$1,Products,0),2)="Cores",IF(HostBuild[Use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49" s="59">
        <f>IFERROR(IF(FIND(CW$1,$W49)&gt;0,IF(INDEX([1]!Product_Pricing_Table[#Data],MATCH(CW$1,Products,0),2)="Cores",IF(HostBuild[Use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49" s="59">
        <f>IFERROR(IF(FIND(CX$1,$W49)&gt;0,IF(INDEX([1]!Product_Pricing_Table[#Data],MATCH(CX$1,Products,0),2)="Cores",IF(HostBuild[Use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49" s="59">
        <f>IFERROR(IF(FIND(CY$1,$W49)&gt;0,IF(INDEX([1]!Product_Pricing_Table[#Data],MATCH(CY$1,Products,0),2)="Cores",IF(HostBuild[Use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49" s="59">
        <f>IFERROR(IF(FIND(CZ$1,$W49)&gt;0,IF(INDEX([1]!Product_Pricing_Table[#Data],MATCH(CZ$1,Products,0),2)="Cores",IF(HostBuild[Use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49" s="59">
        <f>IFERROR(IF(FIND(DA$1,$W49)&gt;0,IF(INDEX([1]!Product_Pricing_Table[#Data],MATCH(DA$1,Products,0),2)="Cores",IF(HostBuild[Use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49" s="59">
        <f>IFERROR(IF(FIND(DB$1,$W49)&gt;0,IF(INDEX([1]!Product_Pricing_Table[#Data],MATCH(DB$1,Products,0),2)="Cores",IF(HostBuild[Use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49" s="59">
        <f>IFERROR(IF(FIND(DC$1,$W49)&gt;0,IF(INDEX([1]!Product_Pricing_Table[#Data],MATCH(DC$1,Products,0),2)="Cores",IF(HostBuild[Use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49" s="59">
        <f>IFERROR(IF(FIND(DD$1,$W49)&gt;0,IF(INDEX([1]!Product_Pricing_Table[#Data],MATCH(DD$1,Products,0),2)="Cores",IF(HostBuild[Use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49" s="59">
        <f>IFERROR(IF(FIND(DE$1,$W49)&gt;0,IF(INDEX([1]!Product_Pricing_Table[#Data],MATCH(DE$1,Products,0),2)="Cores",IF(HostBuild[Use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49" s="60">
        <f>IFERROR(IF(FIND(DF$1,$W49)&gt;0,IF(INDEX([1]!Product_Pricing_Table[#Data],MATCH(DF$1,Products,0),2)="Cores",IF(HostBuild[Use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49" s="60">
        <f>IFERROR(IF(FIND(DG$1,$W49)&gt;0,IF(INDEX([1]!Product_Pricing_Table[#Data],MATCH(DG$1,Products,0),2)="Cores",IF(HostBuild[Use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49" s="59">
        <f>IFERROR(IF(FIND(DH$1,$W49)&gt;0,IF(INDEX([1]!Product_Pricing_Table[#Data],MATCH(DH$1,Products,0),2)="Cores",IF(HostBuild[Use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49" s="60">
        <f>IFERROR(IF(FIND(DI$1,$W49)&gt;0,IF(INDEX([1]!Product_Pricing_Table[#Data],MATCH(DI$1,Products,0),2)="Cores",IF(HostBuild[Use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49" s="59">
        <f>IFERROR(IF(FIND(DJ$1,$W49)&gt;0,IF(INDEX([1]!Product_Pricing_Table[#Data],MATCH(DJ$1,Products,0),2)="Cores",IF(HostBuild[Use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49" s="59">
        <f>IFERROR(IF(FIND(DK$1,$W49)&gt;0,IF(INDEX([1]!Product_Pricing_Table[#Data],MATCH(DK$1,Products,0),2)="Cores",IF(HostBuild[Use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49" s="59">
        <f>IFERROR(IF(FIND(DL$1,$W49)&gt;0,IF(INDEX([1]!Product_Pricing_Table[#Data],MATCH(DL$1,Products,0),2)="Cores",IF(HostBuild[Use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49" s="59">
        <f>IFERROR(IF(FIND(DM$1,$W49)&gt;0,IF(INDEX([1]!Product_Pricing_Table[#Data],MATCH(DM$1,Products,0),2)="Cores",IF(HostBuild[Use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49" s="59">
        <f>IFERROR(IF(FIND(DN$1,$W49)&gt;0,IF(INDEX([1]!Product_Pricing_Table[#Data],MATCH(DN$1,Products,0),2)="Cores",IF(HostBuild[Use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49" s="59">
        <f>IFERROR(IF(FIND(DO$1,$W49)&gt;0,IF(INDEX([1]!Product_Pricing_Table[#Data],MATCH(DO$1,Products,0),2)="Cores",IF(HostBuild[Use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49" s="59">
        <f>IFERROR(IF(FIND(DP$1,$W49)&gt;0,IF(INDEX([1]!Product_Pricing_Table[#Data],MATCH(DP$1,Products,0),2)="Cores",IF(HostBuild[Use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49" s="59">
        <f>IFERROR(IF(FIND(DQ$1,$W49)&gt;0,IF(INDEX([1]!Product_Pricing_Table[#Data],MATCH(DQ$1,Products,0),2)="Cores",IF(HostBuild[Use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49" s="59">
        <f>IFERROR(IF(FIND(DR$1,$W49)&gt;0,IF(INDEX([1]!Product_Pricing_Table[#Data],MATCH(DR$1,Products,0),2)="Cores",IF(HostBuild[Use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49" s="59">
        <f>IFERROR(IF(FIND(DS$1,$W49)&gt;0,IF(INDEX([1]!Product_Pricing_Table[#Data],MATCH(DS$1,Products,0),2)="Cores",IF(HostBuild[Use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49" s="59">
        <f>IFERROR(IF(FIND(DT$1,$W49)&gt;0,IF(INDEX([1]!Product_Pricing_Table[#Data],MATCH(DT$1,Products,0),2)="Cores",IF(HostBuild[Use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49" s="59">
        <f>IFERROR(IF(FIND(DU$1,$W49)&gt;0,IF(INDEX([1]!Product_Pricing_Table[#Data],MATCH(DU$1,Products,0),2)="Cores",IF(HostBuild[Use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49" s="59">
        <f>IFERROR(IF(FIND(DV$1,$W49)&gt;0,IF(INDEX([1]!Product_Pricing_Table[#Data],MATCH(DV$1,Products,0),2)="Cores",IF(HostBuild[Use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49" s="59">
        <f>IFERROR(IF(FIND(DW$1,$W49)&gt;0,IF(INDEX([1]!Product_Pricing_Table[#Data],MATCH(DW$1,Products,0),2)="Cores",IF(HostBuild[Use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49" s="59">
        <f>IFERROR(IF(FIND(DX$1,$W49)&gt;0,IF(INDEX([1]!Product_Pricing_Table[#Data],MATCH(DX$1,Products,0),2)="Cores",IF(HostBuild[Use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49" s="59">
        <f>IFERROR(IF(FIND(DY$1,$W49)&gt;0,IF(INDEX([1]!Product_Pricing_Table[#Data],MATCH(DY$1,Products,0),2)="Cores",IF(HostBuild[Use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49" s="59">
        <f>IFERROR(IF(FIND(DZ$1,$W49)&gt;0,IF(INDEX([1]!Product_Pricing_Table[#Data],MATCH(DZ$1,Products,0),2)="Cores",IF(HostBuild[Use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49" s="59">
        <f>IFERROR(IF(FIND(EA$1,$W49)&gt;0,IF(INDEX([1]!Product_Pricing_Table[#Data],MATCH(EA$1,Products,0),2)="Cores",IF(HostBuild[Use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49" s="59">
        <f>IFERROR(IF(FIND(EB$1,$W49)&gt;0,IF(INDEX([1]!Product_Pricing_Table[#Data],MATCH(EB$1,Products,0),2)="Cores",IF(HostBuild[Use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49" s="60">
        <f>IFERROR(IF(FIND(EC$1,$W49)&gt;0,IF(INDEX([1]!Product_Pricing_Table[#Data],MATCH(EC$1,Products,0),2)="Cores",IF(HostBuild[Use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49" s="59">
        <f>IFERROR(IF(FIND(ED$1,$W49)&gt;0,IF(INDEX([1]!Product_Pricing_Table[#Data],MATCH(ED$1,Products,0),2)="Cores",IF(HostBuild[Use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49" s="59">
        <f>IFERROR(IF(FIND(EE$1,$W49)&gt;0,IF(INDEX([1]!Product_Pricing_Table[#Data],MATCH(EE$1,Products,0),2)="Cores",IF(HostBuild[Use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49" s="59">
        <f>IFERROR(IF(FIND(EF$1,$W49)&gt;0,IF(INDEX([1]!Product_Pricing_Table[#Data],MATCH(EF$1,Products,0),2)="Cores",IF(HostBuild[Use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49" s="59">
        <f>IFERROR(IF(FIND(EG$1,$W49)&gt;0,IF(INDEX([1]!Product_Pricing_Table[#Data],MATCH(EG$1,Products,0),2)="Cores",IF(HostBuild[Use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49" s="59">
        <f>IFERROR(IF(FIND(EH$1,$W49)&gt;0,IF(INDEX([1]!Product_Pricing_Table[#Data],MATCH(EH$1,Products,0),2)="Cores",IF(HostBuild[Use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49" s="59">
        <f>IFERROR(IF(FIND(EI$1,$W49)&gt;0,IF(INDEX([1]!Product_Pricing_Table[#Data],MATCH(EI$1,Products,0),2)="Cores",IF(HostBuild[Use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49" s="59">
        <f>IFERROR(IF(FIND(EJ$1,$W49)&gt;0,IF(INDEX([1]!Product_Pricing_Table[#Data],MATCH(EJ$1,Products,0),2)="Cores",IF(HostBuild[Use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49" s="60">
        <f>IFERROR(IF(FIND(EK$1,$W49)&gt;0,IF(INDEX([1]!Product_Pricing_Table[#Data],MATCH(EK$1,Products,0),2)="Cores",IF(HostBuild[Use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49" s="61"/>
      <c r="EM49" s="62"/>
      <c r="EN49" s="63"/>
      <c r="EO49"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4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49" s="132">
        <f>(HostBuild[Archive
Full (GB)]+HostBuild[Archive
Incr (GB)])*Storage_DC_Dist_Tape_2014</f>
        <v>0</v>
      </c>
      <c r="ER49" s="132">
        <f>IF(ISNUMBER(HostBuild[Server HW Costs
(Monthly)]),SUM(HostBuild[[#This Row],[Server HW Costs
(Monthly)]:[Tape Costs
(Monthly)]]),0)</f>
        <v>1003.9</v>
      </c>
      <c r="ES49" s="65">
        <f>HostBuild[Software Costs
'[Year 1']
(Monthly)]+HostBuild[Total Hardware Costs
(Monthly)]</f>
        <v>1003.9</v>
      </c>
      <c r="ET49" s="65">
        <f>IFERROR(IF(FIND("Safenet",HostBuild[Server Model]),Safenet_PSE_PL600_Maint,0),0)+IFERROR(IF(FIND("XI52",HostBuild[Server Model]),IBM_DIA_XI52_Maint,0),0)+HostBuild[Software Costs
'[After Year 1']
(Monthly)]+HostBuild[Total Hardware Costs
(Monthly)]</f>
        <v>1003.9</v>
      </c>
      <c r="EU49" s="66">
        <f>SUM(HostBuild[[#This Row],[Server Cost Breakdown]:[Network Cost]])</f>
        <v>1003.9</v>
      </c>
      <c r="EV49" s="67">
        <f>IF(HostBuild[Existing Server?]="Yes - Inside this BoM",0,SUMIF(HostBuild[Alias],HostBuild[Alias],HostBuild[CPU])+SUMIF(HostBuild[Alias],HostBuild[Alias],HostBuild[Existing CPUs]))</f>
        <v>2</v>
      </c>
      <c r="EW49" s="67">
        <f>IF(HostBuild[Existing Server?]="Yes - Inside this BoM",0,SUMIF(HostBuild[Alias],HostBuild[Alias],HostBuild[Cores 
(Licensed Units)])+SUMIF(HostBuild[Alias],HostBuild[Alias],HostBuild[Existing Cores]))</f>
        <v>0</v>
      </c>
      <c r="EX49" s="67">
        <f>IF(HostBuild[Existing Server?]="Yes - Inside this BoM",0,SUMIF(HostBuild[Alias],HostBuild[Alias],HostBuild[RAM 
(GB)])+SUMIF(HostBuild[Alias],HostBuild[Alias],HostBuild[Existing RAM (GB)]))</f>
        <v>256</v>
      </c>
      <c r="EY4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4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4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4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49" s="66">
        <f>IF(ISBLANK(HostBuild[Server Model]),0,IF(HostBuild[Server Tier]="VMware",0,VLOOKUP(HostBuild[Server Tier],[1]!ServerTierRates[#Data],2,0))*HostBuild[CPU]*IF(AND(HostBuild[Server Type]="pSeries",HostBuild[Virtual Platform Storage Type]="Cloud-SAN"),0.25,1))</f>
        <v>608</v>
      </c>
      <c r="FD49" s="66">
        <f>0</f>
        <v>0</v>
      </c>
      <c r="FE49" s="66">
        <f>IF(HostBuild[Server Type]="VMware",HostBuild[RAM 
(GB)]*IF(ISERROR(FIND("DevCloud", HostBuild[Server Model])&gt;0),vRAM_per_vCPU_2014_Monthly,vRAM_per_vCPU_2014_Daily*30),0)</f>
        <v>0</v>
      </c>
      <c r="FF4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4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49" s="69">
        <f>IF(HostBuild[Server Tier]="VMware",0,IF(LEFT(HostBuild[Existing Server?],3)="Yes",0,IF(OR(HostBuild[Server Type]="Sun",HostBuild[Server Type]="pSeries"),Support_Direct_Server_Sun_per_OS_2014,IF(HostBuild[Server Type]="x86",Support_Direct_Server_x86_Wintel_per_OS_2014,0))))</f>
        <v>187.1</v>
      </c>
      <c r="FI4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0" spans="1:165" hidden="1">
      <c r="A50" s="122" t="s">
        <v>53</v>
      </c>
      <c r="B50" s="36"/>
      <c r="C50" s="36"/>
      <c r="D50" s="36"/>
      <c r="E50" s="37"/>
      <c r="F50" s="37"/>
      <c r="G50" s="103"/>
      <c r="H50" s="103"/>
      <c r="I50" s="38"/>
      <c r="J50" s="37"/>
      <c r="K50" s="37"/>
      <c r="L50" s="37"/>
      <c r="M50" s="103" t="e">
        <f ca="1">IF(rngIsDate(HostBuild[CTO Acceptance]),"Y","N")</f>
        <v>#NAME?</v>
      </c>
      <c r="N50" s="123" t="s">
        <v>3</v>
      </c>
      <c r="O50" s="39"/>
      <c r="P50" s="39"/>
      <c r="Q50" s="123" t="s">
        <v>52</v>
      </c>
      <c r="R50" s="126" t="str">
        <f>IF(NOT(ISBLANK(HostBuild[Env Label])),IFERROR(VLOOKUP(HostBuild[Env Label],[1]!tEnv[#Data],3,FALSE),""),"")</f>
        <v/>
      </c>
      <c r="S50" s="104"/>
      <c r="T50" s="40"/>
      <c r="U50" s="105"/>
      <c r="V50" s="123" t="s">
        <v>75</v>
      </c>
      <c r="W50" s="123" t="s">
        <v>70</v>
      </c>
      <c r="X50" s="123" t="s">
        <v>57</v>
      </c>
      <c r="Y50" s="123" t="s">
        <v>58</v>
      </c>
      <c r="Z50" s="126" t="str">
        <f>IF(NOT(ISBLANK(HostBuild[[#This Row],[Product 
(Acronym)]])),CONCATENATE(HostBuild[[#This Row],[Type]],"-",HostBuild[[#This Row],[Product 
(Acronym)]]),"")</f>
        <v>AP-ESB</v>
      </c>
      <c r="AA50" s="106"/>
      <c r="AB50" s="106" t="s">
        <v>76</v>
      </c>
      <c r="AC50" s="41"/>
      <c r="AD50" s="42"/>
      <c r="AE50" s="42"/>
      <c r="AF50" s="43"/>
      <c r="AG50" s="124"/>
      <c r="AH50" s="107"/>
      <c r="AI50" s="124" t="s">
        <v>133</v>
      </c>
      <c r="AJ50" s="123">
        <f>IF(COUNTIF(HostBuild[Alias],HostBuild[Alias]),1/COUNTIF(HostBuild[Alias],HostBuild[Alias]),0)</f>
        <v>1</v>
      </c>
      <c r="AK50" s="124"/>
      <c r="AL50" s="124"/>
      <c r="AM50" s="44" t="s">
        <v>62</v>
      </c>
      <c r="AN50" s="45" t="str">
        <f>IF(NOT(ISBLANK(HostBuild[Server Model])),VLOOKUP(HostBuild[Server Model],[1]!ServerModelsTier[#Data],2,FALSE),"")</f>
        <v>x86 Tier 3</v>
      </c>
      <c r="AO50" s="45" t="str">
        <f>IF(NOT(ISBLANK(HostBuild[Server Model])),VLOOKUP(HostBuild[Server Model],[1]!ServerModelsTier[#Data],5,FALSE),"")</f>
        <v>x86</v>
      </c>
      <c r="AP50" s="44"/>
      <c r="AQ50" s="44" t="s">
        <v>63</v>
      </c>
      <c r="AR50" s="46">
        <v>2</v>
      </c>
      <c r="AS50" s="108"/>
      <c r="AT50" s="47"/>
      <c r="AU50" s="109" t="str">
        <f>IF(IFERROR(FIND("P-Series",HostBuild[Server Tier]),0),CEILING((HostBuild[Existing CPUs]+HostBuild[CPU])*16,8),"")</f>
        <v/>
      </c>
      <c r="AV50" s="48">
        <v>256</v>
      </c>
      <c r="AW50" s="124"/>
      <c r="AX50" s="124"/>
      <c r="AY50" s="124"/>
      <c r="AZ50" s="49"/>
      <c r="BA50" s="124"/>
      <c r="BB50" s="124"/>
      <c r="BC50" s="42"/>
      <c r="BD50" s="124"/>
      <c r="BE50" s="124"/>
      <c r="BF50" s="124"/>
      <c r="BG50" s="124"/>
      <c r="BH50" s="124"/>
      <c r="BI50" s="124"/>
      <c r="BJ50" s="124"/>
      <c r="BK50" s="133"/>
      <c r="BL50" s="127"/>
      <c r="BM50" s="129">
        <f>IF(ISNUMBER(HostBuild[Recommended SAN (GB)]),HostBuild[Recommended SAN (GB)])+IF(HostBuild[Additional SAN (GB)]&gt;0,CEILING(HostBuild[Additional SAN (GB)],LUN),-(CEILING(-HostBuild[Additional SAN (GB)],LUN)))</f>
        <v>0</v>
      </c>
      <c r="BN50" s="128"/>
      <c r="BO50" s="129">
        <f>HostBuild[SAN (GB)
NEEDED TODAY]+CEILING(HostBuild[SAN (GB)
RESERVED
DO NOT USE TO BUILD], LUN)</f>
        <v>0</v>
      </c>
      <c r="BP50" s="130"/>
      <c r="BQ50" s="131"/>
      <c r="BR50" s="125" t="s">
        <v>64</v>
      </c>
      <c r="BS50" s="110">
        <f>IF(HostBuild[Existing Server?]&lt;&gt;"Yes - Inside this BoM",IF(ISNUMBER(HostBuild[RAM 
(GB)]),IF(HostBuild[Existing RAM (GB)]+HostBuild[RAM 
(GB)]&gt;0,IF(HostBuild[Virtual Platform Storage Type]="NAS",110+HostBuild[Existing RAM (GB)]+HostBuild[RAM 
(GB)]*1.75,0),0),0),0)</f>
        <v>0</v>
      </c>
      <c r="BT50" s="111"/>
      <c r="BU50" s="112">
        <f>IF(ISNUMBER(HostBuild[Recommended NAS (GB)]),HostBuild[Recommended NAS (GB)])+HostBuild[Additional NAS (GB)]</f>
        <v>0</v>
      </c>
      <c r="BV50" s="50"/>
      <c r="BW50" s="50"/>
      <c r="BX50" s="133">
        <f>IFERROR((HostBuild[SAN (GB)
End-State
DO NOT USE TO BUILD]+HostBuild[SAN (GB) Shared])*25%,"")</f>
        <v>0</v>
      </c>
      <c r="BY50" s="113">
        <f>IFERROR(HostBuild[Archive
Full (GB)]*15%,"")</f>
        <v>0</v>
      </c>
      <c r="BZ50" s="51"/>
      <c r="CA50" s="51"/>
      <c r="CB50" s="52"/>
      <c r="CC50" s="53"/>
      <c r="CD50" s="52"/>
      <c r="CE50" s="54"/>
      <c r="CF50" s="128"/>
      <c r="CG50" s="114"/>
      <c r="CH50" s="55"/>
      <c r="CI50" s="56"/>
      <c r="CJ50" s="57" t="s">
        <v>78</v>
      </c>
      <c r="CK50" s="58"/>
      <c r="CL50" s="59">
        <f>IFERROR(IF(FIND(CL$1,$W50)&gt;0,IF(INDEX([1]!Product_Pricing_Table[#Data],MATCH(CL$1,Products,0),2)="Cores",IF(HostBuild[Use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0" s="59">
        <f>IFERROR(IF(FIND(CM$1,$W50)&gt;0,IF(INDEX([1]!Product_Pricing_Table[#Data],MATCH(CM$1,Products,0),2)="Cores",IF(HostBuild[Use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50" s="59">
        <f>IFERROR(IF(FIND(CN$1,$W50)&gt;0,IF(INDEX([1]!Product_Pricing_Table[#Data],MATCH(CN$1,Products,0),2)="Cores",IF(HostBuild[Use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0" s="59">
        <f>IFERROR(IF(FIND(CO$1,$W50)&gt;0,IF(INDEX([1]!Product_Pricing_Table[#Data],MATCH(CO$1,Products,0),2)="Cores",IF(HostBuild[Use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0" s="59">
        <f>IFERROR(IF(FIND(CP$1,$W50)&gt;0,IF(INDEX([1]!Product_Pricing_Table[#Data],MATCH(CP$1,Products,0),2)="Cores",IF(HostBuild[Use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0" s="59">
        <f>IFERROR(IF(FIND(CQ$1,$W50)&gt;0,IF(INDEX([1]!Product_Pricing_Table[#Data],MATCH(CQ$1,Products,0),2)="Cores",IF(HostBuild[Use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0" s="59">
        <f>IFERROR(IF(FIND(CR$1,$W50)&gt;0,IF(INDEX([1]!Product_Pricing_Table[#Data],MATCH(CR$1,Products,0),2)="Cores",IF(HostBuild[Use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0" s="59">
        <f>IFERROR(IF(FIND(CS$1,$W50)&gt;0,IF(INDEX([1]!Product_Pricing_Table[#Data],MATCH(CS$1,Products,0),2)="Cores",IF(HostBuild[Use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0" s="59">
        <f>IFERROR(IF(FIND(CT$1,$W50)&gt;0,IF(INDEX([1]!Product_Pricing_Table[#Data],MATCH(CT$1,Products,0),2)="Cores",IF(HostBuild[Use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0" s="59">
        <f>IFERROR(IF(FIND(CU$1,$W50)&gt;0,IF(INDEX([1]!Product_Pricing_Table[#Data],MATCH(CU$1,Products,0),2)="Cores",IF(HostBuild[Use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0" s="59">
        <f>IFERROR(IF(FIND(CV$1,$W50)&gt;0,IF(INDEX([1]!Product_Pricing_Table[#Data],MATCH(CV$1,Products,0),2)="Cores",IF(HostBuild[Use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0" s="59">
        <f>IFERROR(IF(FIND(CW$1,$W50)&gt;0,IF(INDEX([1]!Product_Pricing_Table[#Data],MATCH(CW$1,Products,0),2)="Cores",IF(HostBuild[Use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0" s="59">
        <f>IFERROR(IF(FIND(CX$1,$W50)&gt;0,IF(INDEX([1]!Product_Pricing_Table[#Data],MATCH(CX$1,Products,0),2)="Cores",IF(HostBuild[Use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0" s="59">
        <f>IFERROR(IF(FIND(CY$1,$W50)&gt;0,IF(INDEX([1]!Product_Pricing_Table[#Data],MATCH(CY$1,Products,0),2)="Cores",IF(HostBuild[Use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0" s="59">
        <f>IFERROR(IF(FIND(CZ$1,$W50)&gt;0,IF(INDEX([1]!Product_Pricing_Table[#Data],MATCH(CZ$1,Products,0),2)="Cores",IF(HostBuild[Use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0" s="59">
        <f>IFERROR(IF(FIND(DA$1,$W50)&gt;0,IF(INDEX([1]!Product_Pricing_Table[#Data],MATCH(DA$1,Products,0),2)="Cores",IF(HostBuild[Use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0" s="59">
        <f>IFERROR(IF(FIND(DB$1,$W50)&gt;0,IF(INDEX([1]!Product_Pricing_Table[#Data],MATCH(DB$1,Products,0),2)="Cores",IF(HostBuild[Use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0" s="59">
        <f>IFERROR(IF(FIND(DC$1,$W50)&gt;0,IF(INDEX([1]!Product_Pricing_Table[#Data],MATCH(DC$1,Products,0),2)="Cores",IF(HostBuild[Use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0" s="59">
        <f>IFERROR(IF(FIND(DD$1,$W50)&gt;0,IF(INDEX([1]!Product_Pricing_Table[#Data],MATCH(DD$1,Products,0),2)="Cores",IF(HostBuild[Use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0" s="59">
        <f>IFERROR(IF(FIND(DE$1,$W50)&gt;0,IF(INDEX([1]!Product_Pricing_Table[#Data],MATCH(DE$1,Products,0),2)="Cores",IF(HostBuild[Use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0" s="60">
        <f>IFERROR(IF(FIND(DF$1,$W50)&gt;0,IF(INDEX([1]!Product_Pricing_Table[#Data],MATCH(DF$1,Products,0),2)="Cores",IF(HostBuild[Use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0" s="60">
        <f>IFERROR(IF(FIND(DG$1,$W50)&gt;0,IF(INDEX([1]!Product_Pricing_Table[#Data],MATCH(DG$1,Products,0),2)="Cores",IF(HostBuild[Use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0" s="59">
        <f>IFERROR(IF(FIND(DH$1,$W50)&gt;0,IF(INDEX([1]!Product_Pricing_Table[#Data],MATCH(DH$1,Products,0),2)="Cores",IF(HostBuild[Use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0" s="60">
        <f>IFERROR(IF(FIND(DI$1,$W50)&gt;0,IF(INDEX([1]!Product_Pricing_Table[#Data],MATCH(DI$1,Products,0),2)="Cores",IF(HostBuild[Use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0" s="59">
        <f>IFERROR(IF(FIND(DJ$1,$W50)&gt;0,IF(INDEX([1]!Product_Pricing_Table[#Data],MATCH(DJ$1,Products,0),2)="Cores",IF(HostBuild[Use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0" s="59">
        <f>IFERROR(IF(FIND(DK$1,$W50)&gt;0,IF(INDEX([1]!Product_Pricing_Table[#Data],MATCH(DK$1,Products,0),2)="Cores",IF(HostBuild[Use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0" s="59">
        <f>IFERROR(IF(FIND(DL$1,$W50)&gt;0,IF(INDEX([1]!Product_Pricing_Table[#Data],MATCH(DL$1,Products,0),2)="Cores",IF(HostBuild[Use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0" s="59">
        <f>IFERROR(IF(FIND(DM$1,$W50)&gt;0,IF(INDEX([1]!Product_Pricing_Table[#Data],MATCH(DM$1,Products,0),2)="Cores",IF(HostBuild[Use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0" s="59">
        <f>IFERROR(IF(FIND(DN$1,$W50)&gt;0,IF(INDEX([1]!Product_Pricing_Table[#Data],MATCH(DN$1,Products,0),2)="Cores",IF(HostBuild[Use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0" s="59">
        <f>IFERROR(IF(FIND(DO$1,$W50)&gt;0,IF(INDEX([1]!Product_Pricing_Table[#Data],MATCH(DO$1,Products,0),2)="Cores",IF(HostBuild[Use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0" s="59">
        <f>IFERROR(IF(FIND(DP$1,$W50)&gt;0,IF(INDEX([1]!Product_Pricing_Table[#Data],MATCH(DP$1,Products,0),2)="Cores",IF(HostBuild[Use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0" s="59">
        <f>IFERROR(IF(FIND(DQ$1,$W50)&gt;0,IF(INDEX([1]!Product_Pricing_Table[#Data],MATCH(DQ$1,Products,0),2)="Cores",IF(HostBuild[Use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0" s="59">
        <f>IFERROR(IF(FIND(DR$1,$W50)&gt;0,IF(INDEX([1]!Product_Pricing_Table[#Data],MATCH(DR$1,Products,0),2)="Cores",IF(HostBuild[Use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0" s="59">
        <f>IFERROR(IF(FIND(DS$1,$W50)&gt;0,IF(INDEX([1]!Product_Pricing_Table[#Data],MATCH(DS$1,Products,0),2)="Cores",IF(HostBuild[Use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0" s="59">
        <f>IFERROR(IF(FIND(DT$1,$W50)&gt;0,IF(INDEX([1]!Product_Pricing_Table[#Data],MATCH(DT$1,Products,0),2)="Cores",IF(HostBuild[Use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0" s="59">
        <f>IFERROR(IF(FIND(DU$1,$W50)&gt;0,IF(INDEX([1]!Product_Pricing_Table[#Data],MATCH(DU$1,Products,0),2)="Cores",IF(HostBuild[Use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0" s="59">
        <f>IFERROR(IF(FIND(DV$1,$W50)&gt;0,IF(INDEX([1]!Product_Pricing_Table[#Data],MATCH(DV$1,Products,0),2)="Cores",IF(HostBuild[Use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0" s="59">
        <f>IFERROR(IF(FIND(DW$1,$W50)&gt;0,IF(INDEX([1]!Product_Pricing_Table[#Data],MATCH(DW$1,Products,0),2)="Cores",IF(HostBuild[Use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0" s="59">
        <f>IFERROR(IF(FIND(DX$1,$W50)&gt;0,IF(INDEX([1]!Product_Pricing_Table[#Data],MATCH(DX$1,Products,0),2)="Cores",IF(HostBuild[Use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0" s="59">
        <f>IFERROR(IF(FIND(DY$1,$W50)&gt;0,IF(INDEX([1]!Product_Pricing_Table[#Data],MATCH(DY$1,Products,0),2)="Cores",IF(HostBuild[Use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0" s="59">
        <f>IFERROR(IF(FIND(DZ$1,$W50)&gt;0,IF(INDEX([1]!Product_Pricing_Table[#Data],MATCH(DZ$1,Products,0),2)="Cores",IF(HostBuild[Use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0" s="59">
        <f>IFERROR(IF(FIND(EA$1,$W50)&gt;0,IF(INDEX([1]!Product_Pricing_Table[#Data],MATCH(EA$1,Products,0),2)="Cores",IF(HostBuild[Use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0" s="59">
        <f>IFERROR(IF(FIND(EB$1,$W50)&gt;0,IF(INDEX([1]!Product_Pricing_Table[#Data],MATCH(EB$1,Products,0),2)="Cores",IF(HostBuild[Use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0" s="60">
        <f>IFERROR(IF(FIND(EC$1,$W50)&gt;0,IF(INDEX([1]!Product_Pricing_Table[#Data],MATCH(EC$1,Products,0),2)="Cores",IF(HostBuild[Use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0" s="59">
        <f>IFERROR(IF(FIND(ED$1,$W50)&gt;0,IF(INDEX([1]!Product_Pricing_Table[#Data],MATCH(ED$1,Products,0),2)="Cores",IF(HostBuild[Use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0" s="59">
        <f>IFERROR(IF(FIND(EE$1,$W50)&gt;0,IF(INDEX([1]!Product_Pricing_Table[#Data],MATCH(EE$1,Products,0),2)="Cores",IF(HostBuild[Use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0" s="59">
        <f>IFERROR(IF(FIND(EF$1,$W50)&gt;0,IF(INDEX([1]!Product_Pricing_Table[#Data],MATCH(EF$1,Products,0),2)="Cores",IF(HostBuild[Use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0" s="59">
        <f>IFERROR(IF(FIND(EG$1,$W50)&gt;0,IF(INDEX([1]!Product_Pricing_Table[#Data],MATCH(EG$1,Products,0),2)="Cores",IF(HostBuild[Use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0" s="59">
        <f>IFERROR(IF(FIND(EH$1,$W50)&gt;0,IF(INDEX([1]!Product_Pricing_Table[#Data],MATCH(EH$1,Products,0),2)="Cores",IF(HostBuild[Use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0" s="59">
        <f>IFERROR(IF(FIND(EI$1,$W50)&gt;0,IF(INDEX([1]!Product_Pricing_Table[#Data],MATCH(EI$1,Products,0),2)="Cores",IF(HostBuild[Use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0" s="59">
        <f>IFERROR(IF(FIND(EJ$1,$W50)&gt;0,IF(INDEX([1]!Product_Pricing_Table[#Data],MATCH(EJ$1,Products,0),2)="Cores",IF(HostBuild[Use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0" s="60">
        <f>IFERROR(IF(FIND(EK$1,$W50)&gt;0,IF(INDEX([1]!Product_Pricing_Table[#Data],MATCH(EK$1,Products,0),2)="Cores",IF(HostBuild[Use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0" s="61"/>
      <c r="EM50" s="62"/>
      <c r="EN50" s="63"/>
      <c r="EO50"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0" s="132">
        <f>(HostBuild[Archive
Full (GB)]+HostBuild[Archive
Incr (GB)])*Storage_DC_Dist_Tape_2014</f>
        <v>0</v>
      </c>
      <c r="ER50" s="132">
        <f>IF(ISNUMBER(HostBuild[Server HW Costs
(Monthly)]),SUM(HostBuild[[#This Row],[Server HW Costs
(Monthly)]:[Tape Costs
(Monthly)]]),0)</f>
        <v>1003.9</v>
      </c>
      <c r="ES50" s="65">
        <f>HostBuild[Software Costs
'[Year 1']
(Monthly)]+HostBuild[Total Hardware Costs
(Monthly)]</f>
        <v>1003.9</v>
      </c>
      <c r="ET50" s="65">
        <f>IFERROR(IF(FIND("Safenet",HostBuild[Server Model]),Safenet_PSE_PL600_Maint,0),0)+IFERROR(IF(FIND("XI52",HostBuild[Server Model]),IBM_DIA_XI52_Maint,0),0)+HostBuild[Software Costs
'[After Year 1']
(Monthly)]+HostBuild[Total Hardware Costs
(Monthly)]</f>
        <v>1003.9</v>
      </c>
      <c r="EU50" s="66">
        <f>SUM(HostBuild[[#This Row],[Server Cost Breakdown]:[Network Cost]])</f>
        <v>1003.9</v>
      </c>
      <c r="EV50" s="67">
        <f>IF(HostBuild[Existing Server?]="Yes - Inside this BoM",0,SUMIF(HostBuild[Alias],HostBuild[Alias],HostBuild[CPU])+SUMIF(HostBuild[Alias],HostBuild[Alias],HostBuild[Existing CPUs]))</f>
        <v>2</v>
      </c>
      <c r="EW50" s="67">
        <f>IF(HostBuild[Existing Server?]="Yes - Inside this BoM",0,SUMIF(HostBuild[Alias],HostBuild[Alias],HostBuild[Cores 
(Licensed Units)])+SUMIF(HostBuild[Alias],HostBuild[Alias],HostBuild[Existing Cores]))</f>
        <v>0</v>
      </c>
      <c r="EX50" s="67">
        <f>IF(HostBuild[Existing Server?]="Yes - Inside this BoM",0,SUMIF(HostBuild[Alias],HostBuild[Alias],HostBuild[RAM 
(GB)])+SUMIF(HostBuild[Alias],HostBuild[Alias],HostBuild[Existing RAM (GB)]))</f>
        <v>256</v>
      </c>
      <c r="EY5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0" s="66">
        <f>IF(ISBLANK(HostBuild[Server Model]),0,IF(HostBuild[Server Tier]="VMware",0,VLOOKUP(HostBuild[Server Tier],[1]!ServerTierRates[#Data],2,0))*HostBuild[CPU]*IF(AND(HostBuild[Server Type]="pSeries",HostBuild[Virtual Platform Storage Type]="Cloud-SAN"),0.25,1))</f>
        <v>608</v>
      </c>
      <c r="FD50" s="66">
        <f>0</f>
        <v>0</v>
      </c>
      <c r="FE50" s="66">
        <f>IF(HostBuild[Server Type]="VMware",HostBuild[RAM 
(GB)]*IF(ISERROR(FIND("DevCloud", HostBuild[Server Model])&gt;0),vRAM_per_vCPU_2014_Monthly,vRAM_per_vCPU_2014_Daily*30),0)</f>
        <v>0</v>
      </c>
      <c r="FF5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0" s="69">
        <f>IF(HostBuild[Server Tier]="VMware",0,IF(LEFT(HostBuild[Existing Server?],3)="Yes",0,IF(OR(HostBuild[Server Type]="Sun",HostBuild[Server Type]="pSeries"),Support_Direct_Server_Sun_per_OS_2014,IF(HostBuild[Server Type]="x86",Support_Direct_Server_x86_Wintel_per_OS_2014,0))))</f>
        <v>187.1</v>
      </c>
      <c r="FI5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1" spans="1:165" hidden="1">
      <c r="A51" s="122" t="s">
        <v>53</v>
      </c>
      <c r="B51" s="36"/>
      <c r="C51" s="36"/>
      <c r="D51" s="36"/>
      <c r="E51" s="37"/>
      <c r="F51" s="37"/>
      <c r="G51" s="103"/>
      <c r="H51" s="103"/>
      <c r="I51" s="38"/>
      <c r="J51" s="37"/>
      <c r="K51" s="37"/>
      <c r="L51" s="37"/>
      <c r="M51" s="103" t="e">
        <f ca="1">IF(rngIsDate(HostBuild[CTO Acceptance]),"Y","N")</f>
        <v>#NAME?</v>
      </c>
      <c r="N51" s="123" t="s">
        <v>3</v>
      </c>
      <c r="O51" s="39"/>
      <c r="P51" s="39"/>
      <c r="Q51" s="123" t="s">
        <v>52</v>
      </c>
      <c r="R51" s="126" t="str">
        <f>IF(NOT(ISBLANK(HostBuild[Env Label])),IFERROR(VLOOKUP(HostBuild[Env Label],[1]!tEnv[#Data],3,FALSE),""),"")</f>
        <v/>
      </c>
      <c r="S51" s="104"/>
      <c r="T51" s="40"/>
      <c r="U51" s="105"/>
      <c r="V51" s="123" t="s">
        <v>82</v>
      </c>
      <c r="W51" s="123" t="s">
        <v>83</v>
      </c>
      <c r="X51" s="123" t="s">
        <v>57</v>
      </c>
      <c r="Y51" s="123" t="s">
        <v>58</v>
      </c>
      <c r="Z51" s="126" t="str">
        <f>IF(NOT(ISBLANK(HostBuild[[#This Row],[Product 
(Acronym)]])),CONCATENATE(HostBuild[[#This Row],[Type]],"-",HostBuild[[#This Row],[Product 
(Acronym)]]),"")</f>
        <v>AP-ESB</v>
      </c>
      <c r="AA51" s="106"/>
      <c r="AB51" s="106" t="s">
        <v>76</v>
      </c>
      <c r="AC51" s="41"/>
      <c r="AD51" s="42"/>
      <c r="AE51" s="42"/>
      <c r="AF51" s="43"/>
      <c r="AG51" s="124"/>
      <c r="AH51" s="107"/>
      <c r="AI51" s="124" t="s">
        <v>134</v>
      </c>
      <c r="AJ51" s="123">
        <f>IF(COUNTIF(HostBuild[Alias],HostBuild[Alias]),1/COUNTIF(HostBuild[Alias],HostBuild[Alias]),0)</f>
        <v>1</v>
      </c>
      <c r="AK51" s="124"/>
      <c r="AL51" s="124"/>
      <c r="AM51" s="44" t="s">
        <v>62</v>
      </c>
      <c r="AN51" s="45" t="str">
        <f>IF(NOT(ISBLANK(HostBuild[Server Model])),VLOOKUP(HostBuild[Server Model],[1]!ServerModelsTier[#Data],2,FALSE),"")</f>
        <v>x86 Tier 3</v>
      </c>
      <c r="AO51" s="45" t="str">
        <f>IF(NOT(ISBLANK(HostBuild[Server Model])),VLOOKUP(HostBuild[Server Model],[1]!ServerModelsTier[#Data],5,FALSE),"")</f>
        <v>x86</v>
      </c>
      <c r="AP51" s="44"/>
      <c r="AQ51" s="44" t="s">
        <v>63</v>
      </c>
      <c r="AR51" s="46">
        <v>2</v>
      </c>
      <c r="AS51" s="108"/>
      <c r="AT51" s="47"/>
      <c r="AU51" s="109" t="str">
        <f>IF(IFERROR(FIND("P-Series",HostBuild[Server Tier]),0),CEILING((HostBuild[Existing CPUs]+HostBuild[CPU])*16,8),"")</f>
        <v/>
      </c>
      <c r="AV51" s="48">
        <v>256</v>
      </c>
      <c r="AW51" s="124"/>
      <c r="AX51" s="124"/>
      <c r="AY51" s="124"/>
      <c r="AZ51" s="49"/>
      <c r="BA51" s="124"/>
      <c r="BB51" s="124"/>
      <c r="BC51" s="42"/>
      <c r="BD51" s="124"/>
      <c r="BE51" s="124"/>
      <c r="BF51" s="124"/>
      <c r="BG51" s="124"/>
      <c r="BH51" s="124"/>
      <c r="BI51" s="124"/>
      <c r="BJ51" s="124"/>
      <c r="BK51" s="133"/>
      <c r="BL51" s="127"/>
      <c r="BM51" s="129">
        <f>IF(ISNUMBER(HostBuild[Recommended SAN (GB)]),HostBuild[Recommended SAN (GB)])+IF(HostBuild[Additional SAN (GB)]&gt;0,CEILING(HostBuild[Additional SAN (GB)],LUN),-(CEILING(-HostBuild[Additional SAN (GB)],LUN)))</f>
        <v>0</v>
      </c>
      <c r="BN51" s="128"/>
      <c r="BO51" s="129">
        <f>HostBuild[SAN (GB)
NEEDED TODAY]+CEILING(HostBuild[SAN (GB)
RESERVED
DO NOT USE TO BUILD], LUN)</f>
        <v>0</v>
      </c>
      <c r="BP51" s="130"/>
      <c r="BQ51" s="131"/>
      <c r="BR51" s="125" t="s">
        <v>64</v>
      </c>
      <c r="BS51" s="110">
        <f>IF(HostBuild[Existing Server?]&lt;&gt;"Yes - Inside this BoM",IF(ISNUMBER(HostBuild[RAM 
(GB)]),IF(HostBuild[Existing RAM (GB)]+HostBuild[RAM 
(GB)]&gt;0,IF(HostBuild[Virtual Platform Storage Type]="NAS",110+HostBuild[Existing RAM (GB)]+HostBuild[RAM 
(GB)]*1.75,0),0),0),0)</f>
        <v>0</v>
      </c>
      <c r="BT51" s="111"/>
      <c r="BU51" s="112">
        <f>IF(ISNUMBER(HostBuild[Recommended NAS (GB)]),HostBuild[Recommended NAS (GB)])+HostBuild[Additional NAS (GB)]</f>
        <v>0</v>
      </c>
      <c r="BV51" s="50"/>
      <c r="BW51" s="50"/>
      <c r="BX51" s="133">
        <f>IFERROR((HostBuild[SAN (GB)
End-State
DO NOT USE TO BUILD]+HostBuild[SAN (GB) Shared])*25%,"")</f>
        <v>0</v>
      </c>
      <c r="BY51" s="113">
        <f>IFERROR(HostBuild[Archive
Full (GB)]*15%,"")</f>
        <v>0</v>
      </c>
      <c r="BZ51" s="51"/>
      <c r="CA51" s="51"/>
      <c r="CB51" s="52"/>
      <c r="CC51" s="53"/>
      <c r="CD51" s="52"/>
      <c r="CE51" s="54"/>
      <c r="CF51" s="128"/>
      <c r="CG51" s="114"/>
      <c r="CH51" s="55"/>
      <c r="CI51" s="56"/>
      <c r="CJ51" s="57" t="s">
        <v>85</v>
      </c>
      <c r="CK51" s="58"/>
      <c r="CL51" s="59">
        <f>IFERROR(IF(FIND(CL$1,$W51)&gt;0,IF(INDEX([1]!Product_Pricing_Table[#Data],MATCH(CL$1,Products,0),2)="Cores",IF(HostBuild[Use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1" s="59">
        <f>IFERROR(IF(FIND(CM$1,$W51)&gt;0,IF(INDEX([1]!Product_Pricing_Table[#Data],MATCH(CM$1,Products,0),2)="Cores",IF(HostBuild[Use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51" s="59">
        <f>IFERROR(IF(FIND(CN$1,$W51)&gt;0,IF(INDEX([1]!Product_Pricing_Table[#Data],MATCH(CN$1,Products,0),2)="Cores",IF(HostBuild[Use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1" s="59">
        <f>IFERROR(IF(FIND(CO$1,$W51)&gt;0,IF(INDEX([1]!Product_Pricing_Table[#Data],MATCH(CO$1,Products,0),2)="Cores",IF(HostBuild[Use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1" s="59">
        <f>IFERROR(IF(FIND(CP$1,$W51)&gt;0,IF(INDEX([1]!Product_Pricing_Table[#Data],MATCH(CP$1,Products,0),2)="Cores",IF(HostBuild[Use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1" s="59">
        <f>IFERROR(IF(FIND(CQ$1,$W51)&gt;0,IF(INDEX([1]!Product_Pricing_Table[#Data],MATCH(CQ$1,Products,0),2)="Cores",IF(HostBuild[Use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1" s="59">
        <f>IFERROR(IF(FIND(CR$1,$W51)&gt;0,IF(INDEX([1]!Product_Pricing_Table[#Data],MATCH(CR$1,Products,0),2)="Cores",IF(HostBuild[Use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1" s="59">
        <f>IFERROR(IF(FIND(CS$1,$W51)&gt;0,IF(INDEX([1]!Product_Pricing_Table[#Data],MATCH(CS$1,Products,0),2)="Cores",IF(HostBuild[Use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1" s="59">
        <f>IFERROR(IF(FIND(CT$1,$W51)&gt;0,IF(INDEX([1]!Product_Pricing_Table[#Data],MATCH(CT$1,Products,0),2)="Cores",IF(HostBuild[Use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1" s="59">
        <f>IFERROR(IF(FIND(CU$1,$W51)&gt;0,IF(INDEX([1]!Product_Pricing_Table[#Data],MATCH(CU$1,Products,0),2)="Cores",IF(HostBuild[Use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1" s="59">
        <f>IFERROR(IF(FIND(CV$1,$W51)&gt;0,IF(INDEX([1]!Product_Pricing_Table[#Data],MATCH(CV$1,Products,0),2)="Cores",IF(HostBuild[Use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1" s="59">
        <f>IFERROR(IF(FIND(CW$1,$W51)&gt;0,IF(INDEX([1]!Product_Pricing_Table[#Data],MATCH(CW$1,Products,0),2)="Cores",IF(HostBuild[Use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1" s="59">
        <f>IFERROR(IF(FIND(CX$1,$W51)&gt;0,IF(INDEX([1]!Product_Pricing_Table[#Data],MATCH(CX$1,Products,0),2)="Cores",IF(HostBuild[Use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1" s="59">
        <f>IFERROR(IF(FIND(CY$1,$W51)&gt;0,IF(INDEX([1]!Product_Pricing_Table[#Data],MATCH(CY$1,Products,0),2)="Cores",IF(HostBuild[Use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1" s="59">
        <f>IFERROR(IF(FIND(CZ$1,$W51)&gt;0,IF(INDEX([1]!Product_Pricing_Table[#Data],MATCH(CZ$1,Products,0),2)="Cores",IF(HostBuild[Use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1" s="59">
        <f>IFERROR(IF(FIND(DA$1,$W51)&gt;0,IF(INDEX([1]!Product_Pricing_Table[#Data],MATCH(DA$1,Products,0),2)="Cores",IF(HostBuild[Use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1" s="59">
        <f>IFERROR(IF(FIND(DB$1,$W51)&gt;0,IF(INDEX([1]!Product_Pricing_Table[#Data],MATCH(DB$1,Products,0),2)="Cores",IF(HostBuild[Use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1" s="59">
        <f>IFERROR(IF(FIND(DC$1,$W51)&gt;0,IF(INDEX([1]!Product_Pricing_Table[#Data],MATCH(DC$1,Products,0),2)="Cores",IF(HostBuild[Use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1" s="59">
        <f>IFERROR(IF(FIND(DD$1,$W51)&gt;0,IF(INDEX([1]!Product_Pricing_Table[#Data],MATCH(DD$1,Products,0),2)="Cores",IF(HostBuild[Use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1" s="59">
        <f>IFERROR(IF(FIND(DE$1,$W51)&gt;0,IF(INDEX([1]!Product_Pricing_Table[#Data],MATCH(DE$1,Products,0),2)="Cores",IF(HostBuild[Use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1" s="60">
        <f>IFERROR(IF(FIND(DF$1,$W51)&gt;0,IF(INDEX([1]!Product_Pricing_Table[#Data],MATCH(DF$1,Products,0),2)="Cores",IF(HostBuild[Use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1" s="60">
        <f>IFERROR(IF(FIND(DG$1,$W51)&gt;0,IF(INDEX([1]!Product_Pricing_Table[#Data],MATCH(DG$1,Products,0),2)="Cores",IF(HostBuild[Use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1" s="59">
        <f>IFERROR(IF(FIND(DH$1,$W51)&gt;0,IF(INDEX([1]!Product_Pricing_Table[#Data],MATCH(DH$1,Products,0),2)="Cores",IF(HostBuild[Use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1" s="60">
        <f>IFERROR(IF(FIND(DI$1,$W51)&gt;0,IF(INDEX([1]!Product_Pricing_Table[#Data],MATCH(DI$1,Products,0),2)="Cores",IF(HostBuild[Use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1" s="59">
        <f>IFERROR(IF(FIND(DJ$1,$W51)&gt;0,IF(INDEX([1]!Product_Pricing_Table[#Data],MATCH(DJ$1,Products,0),2)="Cores",IF(HostBuild[Use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1" s="59">
        <f>IFERROR(IF(FIND(DK$1,$W51)&gt;0,IF(INDEX([1]!Product_Pricing_Table[#Data],MATCH(DK$1,Products,0),2)="Cores",IF(HostBuild[Use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1" s="59">
        <f>IFERROR(IF(FIND(DL$1,$W51)&gt;0,IF(INDEX([1]!Product_Pricing_Table[#Data],MATCH(DL$1,Products,0),2)="Cores",IF(HostBuild[Use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1" s="59">
        <f>IFERROR(IF(FIND(DM$1,$W51)&gt;0,IF(INDEX([1]!Product_Pricing_Table[#Data],MATCH(DM$1,Products,0),2)="Cores",IF(HostBuild[Use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1" s="59">
        <f>IFERROR(IF(FIND(DN$1,$W51)&gt;0,IF(INDEX([1]!Product_Pricing_Table[#Data],MATCH(DN$1,Products,0),2)="Cores",IF(HostBuild[Use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1" s="59">
        <f>IFERROR(IF(FIND(DO$1,$W51)&gt;0,IF(INDEX([1]!Product_Pricing_Table[#Data],MATCH(DO$1,Products,0),2)="Cores",IF(HostBuild[Use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1" s="59">
        <f>IFERROR(IF(FIND(DP$1,$W51)&gt;0,IF(INDEX([1]!Product_Pricing_Table[#Data],MATCH(DP$1,Products,0),2)="Cores",IF(HostBuild[Use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1" s="59">
        <f>IFERROR(IF(FIND(DQ$1,$W51)&gt;0,IF(INDEX([1]!Product_Pricing_Table[#Data],MATCH(DQ$1,Products,0),2)="Cores",IF(HostBuild[Use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1" s="59">
        <f>IFERROR(IF(FIND(DR$1,$W51)&gt;0,IF(INDEX([1]!Product_Pricing_Table[#Data],MATCH(DR$1,Products,0),2)="Cores",IF(HostBuild[Use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1" s="59">
        <f>IFERROR(IF(FIND(DS$1,$W51)&gt;0,IF(INDEX([1]!Product_Pricing_Table[#Data],MATCH(DS$1,Products,0),2)="Cores",IF(HostBuild[Use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1" s="59">
        <f>IFERROR(IF(FIND(DT$1,$W51)&gt;0,IF(INDEX([1]!Product_Pricing_Table[#Data],MATCH(DT$1,Products,0),2)="Cores",IF(HostBuild[Use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1" s="59">
        <f>IFERROR(IF(FIND(DU$1,$W51)&gt;0,IF(INDEX([1]!Product_Pricing_Table[#Data],MATCH(DU$1,Products,0),2)="Cores",IF(HostBuild[Use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1" s="59">
        <f>IFERROR(IF(FIND(DV$1,$W51)&gt;0,IF(INDEX([1]!Product_Pricing_Table[#Data],MATCH(DV$1,Products,0),2)="Cores",IF(HostBuild[Use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1" s="59">
        <f>IFERROR(IF(FIND(DW$1,$W51)&gt;0,IF(INDEX([1]!Product_Pricing_Table[#Data],MATCH(DW$1,Products,0),2)="Cores",IF(HostBuild[Use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1" s="59">
        <f>IFERROR(IF(FIND(DX$1,$W51)&gt;0,IF(INDEX([1]!Product_Pricing_Table[#Data],MATCH(DX$1,Products,0),2)="Cores",IF(HostBuild[Use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1" s="59">
        <f>IFERROR(IF(FIND(DY$1,$W51)&gt;0,IF(INDEX([1]!Product_Pricing_Table[#Data],MATCH(DY$1,Products,0),2)="Cores",IF(HostBuild[Use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1" s="59">
        <f>IFERROR(IF(FIND(DZ$1,$W51)&gt;0,IF(INDEX([1]!Product_Pricing_Table[#Data],MATCH(DZ$1,Products,0),2)="Cores",IF(HostBuild[Use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1" s="59">
        <f>IFERROR(IF(FIND(EA$1,$W51)&gt;0,IF(INDEX([1]!Product_Pricing_Table[#Data],MATCH(EA$1,Products,0),2)="Cores",IF(HostBuild[Use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1" s="59">
        <f>IFERROR(IF(FIND(EB$1,$W51)&gt;0,IF(INDEX([1]!Product_Pricing_Table[#Data],MATCH(EB$1,Products,0),2)="Cores",IF(HostBuild[Use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1" s="60">
        <f>IFERROR(IF(FIND(EC$1,$W51)&gt;0,IF(INDEX([1]!Product_Pricing_Table[#Data],MATCH(EC$1,Products,0),2)="Cores",IF(HostBuild[Use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1" s="59">
        <f>IFERROR(IF(FIND(ED$1,$W51)&gt;0,IF(INDEX([1]!Product_Pricing_Table[#Data],MATCH(ED$1,Products,0),2)="Cores",IF(HostBuild[Use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1" s="59">
        <f>IFERROR(IF(FIND(EE$1,$W51)&gt;0,IF(INDEX([1]!Product_Pricing_Table[#Data],MATCH(EE$1,Products,0),2)="Cores",IF(HostBuild[Use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1" s="59">
        <f>IFERROR(IF(FIND(EF$1,$W51)&gt;0,IF(INDEX([1]!Product_Pricing_Table[#Data],MATCH(EF$1,Products,0),2)="Cores",IF(HostBuild[Use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1" s="59">
        <f>IFERROR(IF(FIND(EG$1,$W51)&gt;0,IF(INDEX([1]!Product_Pricing_Table[#Data],MATCH(EG$1,Products,0),2)="Cores",IF(HostBuild[Use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1" s="59">
        <f>IFERROR(IF(FIND(EH$1,$W51)&gt;0,IF(INDEX([1]!Product_Pricing_Table[#Data],MATCH(EH$1,Products,0),2)="Cores",IF(HostBuild[Use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1" s="59">
        <f>IFERROR(IF(FIND(EI$1,$W51)&gt;0,IF(INDEX([1]!Product_Pricing_Table[#Data],MATCH(EI$1,Products,0),2)="Cores",IF(HostBuild[Use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1" s="59">
        <f>IFERROR(IF(FIND(EJ$1,$W51)&gt;0,IF(INDEX([1]!Product_Pricing_Table[#Data],MATCH(EJ$1,Products,0),2)="Cores",IF(HostBuild[Use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1" s="60">
        <f>IFERROR(IF(FIND(EK$1,$W51)&gt;0,IF(INDEX([1]!Product_Pricing_Table[#Data],MATCH(EK$1,Products,0),2)="Cores",IF(HostBuild[Use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1" s="61"/>
      <c r="EM51" s="62"/>
      <c r="EN51" s="63"/>
      <c r="EO51"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1" s="132">
        <f>(HostBuild[Archive
Full (GB)]+HostBuild[Archive
Incr (GB)])*Storage_DC_Dist_Tape_2014</f>
        <v>0</v>
      </c>
      <c r="ER51" s="132">
        <f>IF(ISNUMBER(HostBuild[Server HW Costs
(Monthly)]),SUM(HostBuild[[#This Row],[Server HW Costs
(Monthly)]:[Tape Costs
(Monthly)]]),0)</f>
        <v>1003.9</v>
      </c>
      <c r="ES51" s="65">
        <f>HostBuild[Software Costs
'[Year 1']
(Monthly)]+HostBuild[Total Hardware Costs
(Monthly)]</f>
        <v>1003.9</v>
      </c>
      <c r="ET51" s="65">
        <f>IFERROR(IF(FIND("Safenet",HostBuild[Server Model]),Safenet_PSE_PL600_Maint,0),0)+IFERROR(IF(FIND("XI52",HostBuild[Server Model]),IBM_DIA_XI52_Maint,0),0)+HostBuild[Software Costs
'[After Year 1']
(Monthly)]+HostBuild[Total Hardware Costs
(Monthly)]</f>
        <v>1003.9</v>
      </c>
      <c r="EU51" s="66">
        <f>SUM(HostBuild[[#This Row],[Server Cost Breakdown]:[Network Cost]])</f>
        <v>1003.9</v>
      </c>
      <c r="EV51" s="67">
        <f>IF(HostBuild[Existing Server?]="Yes - Inside this BoM",0,SUMIF(HostBuild[Alias],HostBuild[Alias],HostBuild[CPU])+SUMIF(HostBuild[Alias],HostBuild[Alias],HostBuild[Existing CPUs]))</f>
        <v>2</v>
      </c>
      <c r="EW51" s="67">
        <f>IF(HostBuild[Existing Server?]="Yes - Inside this BoM",0,SUMIF(HostBuild[Alias],HostBuild[Alias],HostBuild[Cores 
(Licensed Units)])+SUMIF(HostBuild[Alias],HostBuild[Alias],HostBuild[Existing Cores]))</f>
        <v>0</v>
      </c>
      <c r="EX51" s="67">
        <f>IF(HostBuild[Existing Server?]="Yes - Inside this BoM",0,SUMIF(HostBuild[Alias],HostBuild[Alias],HostBuild[RAM 
(GB)])+SUMIF(HostBuild[Alias],HostBuild[Alias],HostBuild[Existing RAM (GB)]))</f>
        <v>256</v>
      </c>
      <c r="EY5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1" s="66">
        <f>IF(ISBLANK(HostBuild[Server Model]),0,IF(HostBuild[Server Tier]="VMware",0,VLOOKUP(HostBuild[Server Tier],[1]!ServerTierRates[#Data],2,0))*HostBuild[CPU]*IF(AND(HostBuild[Server Type]="pSeries",HostBuild[Virtual Platform Storage Type]="Cloud-SAN"),0.25,1))</f>
        <v>608</v>
      </c>
      <c r="FD51" s="66">
        <f>0</f>
        <v>0</v>
      </c>
      <c r="FE51" s="66">
        <f>IF(HostBuild[Server Type]="VMware",HostBuild[RAM 
(GB)]*IF(ISERROR(FIND("DevCloud", HostBuild[Server Model])&gt;0),vRAM_per_vCPU_2014_Monthly,vRAM_per_vCPU_2014_Daily*30),0)</f>
        <v>0</v>
      </c>
      <c r="FF5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1" s="69">
        <f>IF(HostBuild[Server Tier]="VMware",0,IF(LEFT(HostBuild[Existing Server?],3)="Yes",0,IF(OR(HostBuild[Server Type]="Sun",HostBuild[Server Type]="pSeries"),Support_Direct_Server_Sun_per_OS_2014,IF(HostBuild[Server Type]="x86",Support_Direct_Server_x86_Wintel_per_OS_2014,0))))</f>
        <v>187.1</v>
      </c>
      <c r="FI5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2" spans="1:165" hidden="1">
      <c r="A52" s="122" t="s">
        <v>53</v>
      </c>
      <c r="B52" s="36"/>
      <c r="C52" s="36"/>
      <c r="D52" s="36"/>
      <c r="E52" s="37"/>
      <c r="F52" s="37"/>
      <c r="G52" s="103"/>
      <c r="H52" s="103"/>
      <c r="I52" s="38"/>
      <c r="J52" s="37"/>
      <c r="K52" s="37"/>
      <c r="L52" s="37"/>
      <c r="M52" s="103" t="e">
        <f ca="1">IF(rngIsDate(HostBuild[CTO Acceptance]),"Y","N")</f>
        <v>#NAME?</v>
      </c>
      <c r="N52" s="123" t="s">
        <v>3</v>
      </c>
      <c r="O52" s="39"/>
      <c r="P52" s="39"/>
      <c r="Q52" s="123" t="s">
        <v>52</v>
      </c>
      <c r="R52" s="126" t="str">
        <f>IF(NOT(ISBLANK(HostBuild[Env Label])),IFERROR(VLOOKUP(HostBuild[Env Label],[1]!tEnv[#Data],3,FALSE),""),"")</f>
        <v/>
      </c>
      <c r="S52" s="104"/>
      <c r="T52" s="40"/>
      <c r="U52" s="105"/>
      <c r="V52" s="123" t="s">
        <v>82</v>
      </c>
      <c r="W52" s="123" t="s">
        <v>83</v>
      </c>
      <c r="X52" s="123" t="s">
        <v>57</v>
      </c>
      <c r="Y52" s="123" t="s">
        <v>58</v>
      </c>
      <c r="Z52" s="126" t="str">
        <f>IF(NOT(ISBLANK(HostBuild[[#This Row],[Product 
(Acronym)]])),CONCATENATE(HostBuild[[#This Row],[Type]],"-",HostBuild[[#This Row],[Product 
(Acronym)]]),"")</f>
        <v>AP-ESB</v>
      </c>
      <c r="AA52" s="106"/>
      <c r="AB52" s="106" t="s">
        <v>76</v>
      </c>
      <c r="AC52" s="41"/>
      <c r="AD52" s="42"/>
      <c r="AE52" s="42"/>
      <c r="AF52" s="43"/>
      <c r="AG52" s="124"/>
      <c r="AH52" s="107"/>
      <c r="AI52" s="124" t="s">
        <v>135</v>
      </c>
      <c r="AJ52" s="123">
        <f>IF(COUNTIF(HostBuild[Alias],HostBuild[Alias]),1/COUNTIF(HostBuild[Alias],HostBuild[Alias]),0)</f>
        <v>1</v>
      </c>
      <c r="AK52" s="124"/>
      <c r="AL52" s="124"/>
      <c r="AM52" s="44" t="s">
        <v>62</v>
      </c>
      <c r="AN52" s="45" t="str">
        <f>IF(NOT(ISBLANK(HostBuild[Server Model])),VLOOKUP(HostBuild[Server Model],[1]!ServerModelsTier[#Data],2,FALSE),"")</f>
        <v>x86 Tier 3</v>
      </c>
      <c r="AO52" s="45" t="str">
        <f>IF(NOT(ISBLANK(HostBuild[Server Model])),VLOOKUP(HostBuild[Server Model],[1]!ServerModelsTier[#Data],5,FALSE),"")</f>
        <v>x86</v>
      </c>
      <c r="AP52" s="44"/>
      <c r="AQ52" s="44" t="s">
        <v>63</v>
      </c>
      <c r="AR52" s="46">
        <v>2</v>
      </c>
      <c r="AS52" s="108"/>
      <c r="AT52" s="47"/>
      <c r="AU52" s="109" t="str">
        <f>IF(IFERROR(FIND("P-Series",HostBuild[Server Tier]),0),CEILING((HostBuild[Existing CPUs]+HostBuild[CPU])*16,8),"")</f>
        <v/>
      </c>
      <c r="AV52" s="48">
        <v>256</v>
      </c>
      <c r="AW52" s="124"/>
      <c r="AX52" s="124"/>
      <c r="AY52" s="124"/>
      <c r="AZ52" s="49"/>
      <c r="BA52" s="124"/>
      <c r="BB52" s="124"/>
      <c r="BC52" s="42"/>
      <c r="BD52" s="124"/>
      <c r="BE52" s="124"/>
      <c r="BF52" s="124"/>
      <c r="BG52" s="124"/>
      <c r="BH52" s="124"/>
      <c r="BI52" s="124"/>
      <c r="BJ52" s="124"/>
      <c r="BK52" s="133"/>
      <c r="BL52" s="127"/>
      <c r="BM52" s="129">
        <f>IF(ISNUMBER(HostBuild[Recommended SAN (GB)]),HostBuild[Recommended SAN (GB)])+IF(HostBuild[Additional SAN (GB)]&gt;0,CEILING(HostBuild[Additional SAN (GB)],LUN),-(CEILING(-HostBuild[Additional SAN (GB)],LUN)))</f>
        <v>0</v>
      </c>
      <c r="BN52" s="128"/>
      <c r="BO52" s="129">
        <f>HostBuild[SAN (GB)
NEEDED TODAY]+CEILING(HostBuild[SAN (GB)
RESERVED
DO NOT USE TO BUILD], LUN)</f>
        <v>0</v>
      </c>
      <c r="BP52" s="130"/>
      <c r="BQ52" s="131"/>
      <c r="BR52" s="125" t="s">
        <v>64</v>
      </c>
      <c r="BS52" s="110">
        <f>IF(HostBuild[Existing Server?]&lt;&gt;"Yes - Inside this BoM",IF(ISNUMBER(HostBuild[RAM 
(GB)]),IF(HostBuild[Existing RAM (GB)]+HostBuild[RAM 
(GB)]&gt;0,IF(HostBuild[Virtual Platform Storage Type]="NAS",110+HostBuild[Existing RAM (GB)]+HostBuild[RAM 
(GB)]*1.75,0),0),0),0)</f>
        <v>0</v>
      </c>
      <c r="BT52" s="111"/>
      <c r="BU52" s="112">
        <f>IF(ISNUMBER(HostBuild[Recommended NAS (GB)]),HostBuild[Recommended NAS (GB)])+HostBuild[Additional NAS (GB)]</f>
        <v>0</v>
      </c>
      <c r="BV52" s="50"/>
      <c r="BW52" s="50"/>
      <c r="BX52" s="133">
        <f>IFERROR((HostBuild[SAN (GB)
End-State
DO NOT USE TO BUILD]+HostBuild[SAN (GB) Shared])*25%,"")</f>
        <v>0</v>
      </c>
      <c r="BY52" s="113">
        <f>IFERROR(HostBuild[Archive
Full (GB)]*15%,"")</f>
        <v>0</v>
      </c>
      <c r="BZ52" s="51"/>
      <c r="CA52" s="51"/>
      <c r="CB52" s="52"/>
      <c r="CC52" s="53"/>
      <c r="CD52" s="52"/>
      <c r="CE52" s="54"/>
      <c r="CF52" s="128"/>
      <c r="CG52" s="114"/>
      <c r="CH52" s="55"/>
      <c r="CI52" s="56"/>
      <c r="CJ52" s="57" t="s">
        <v>85</v>
      </c>
      <c r="CK52" s="58"/>
      <c r="CL52" s="59">
        <f>IFERROR(IF(FIND(CL$1,$W52)&gt;0,IF(INDEX([1]!Product_Pricing_Table[#Data],MATCH(CL$1,Products,0),2)="Cores",IF(HostBuild[Use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2" s="59">
        <f>IFERROR(IF(FIND(CM$1,$W52)&gt;0,IF(INDEX([1]!Product_Pricing_Table[#Data],MATCH(CM$1,Products,0),2)="Cores",IF(HostBuild[Use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52" s="59">
        <f>IFERROR(IF(FIND(CN$1,$W52)&gt;0,IF(INDEX([1]!Product_Pricing_Table[#Data],MATCH(CN$1,Products,0),2)="Cores",IF(HostBuild[Use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2" s="59">
        <f>IFERROR(IF(FIND(CO$1,$W52)&gt;0,IF(INDEX([1]!Product_Pricing_Table[#Data],MATCH(CO$1,Products,0),2)="Cores",IF(HostBuild[Use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2" s="59">
        <f>IFERROR(IF(FIND(CP$1,$W52)&gt;0,IF(INDEX([1]!Product_Pricing_Table[#Data],MATCH(CP$1,Products,0),2)="Cores",IF(HostBuild[Use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2" s="59">
        <f>IFERROR(IF(FIND(CQ$1,$W52)&gt;0,IF(INDEX([1]!Product_Pricing_Table[#Data],MATCH(CQ$1,Products,0),2)="Cores",IF(HostBuild[Use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2" s="59">
        <f>IFERROR(IF(FIND(CR$1,$W52)&gt;0,IF(INDEX([1]!Product_Pricing_Table[#Data],MATCH(CR$1,Products,0),2)="Cores",IF(HostBuild[Use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2" s="59">
        <f>IFERROR(IF(FIND(CS$1,$W52)&gt;0,IF(INDEX([1]!Product_Pricing_Table[#Data],MATCH(CS$1,Products,0),2)="Cores",IF(HostBuild[Use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2" s="59">
        <f>IFERROR(IF(FIND(CT$1,$W52)&gt;0,IF(INDEX([1]!Product_Pricing_Table[#Data],MATCH(CT$1,Products,0),2)="Cores",IF(HostBuild[Use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2" s="59">
        <f>IFERROR(IF(FIND(CU$1,$W52)&gt;0,IF(INDEX([1]!Product_Pricing_Table[#Data],MATCH(CU$1,Products,0),2)="Cores",IF(HostBuild[Use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2" s="59">
        <f>IFERROR(IF(FIND(CV$1,$W52)&gt;0,IF(INDEX([1]!Product_Pricing_Table[#Data],MATCH(CV$1,Products,0),2)="Cores",IF(HostBuild[Use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2" s="59">
        <f>IFERROR(IF(FIND(CW$1,$W52)&gt;0,IF(INDEX([1]!Product_Pricing_Table[#Data],MATCH(CW$1,Products,0),2)="Cores",IF(HostBuild[Use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2" s="59">
        <f>IFERROR(IF(FIND(CX$1,$W52)&gt;0,IF(INDEX([1]!Product_Pricing_Table[#Data],MATCH(CX$1,Products,0),2)="Cores",IF(HostBuild[Use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2" s="59">
        <f>IFERROR(IF(FIND(CY$1,$W52)&gt;0,IF(INDEX([1]!Product_Pricing_Table[#Data],MATCH(CY$1,Products,0),2)="Cores",IF(HostBuild[Use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2" s="59">
        <f>IFERROR(IF(FIND(CZ$1,$W52)&gt;0,IF(INDEX([1]!Product_Pricing_Table[#Data],MATCH(CZ$1,Products,0),2)="Cores",IF(HostBuild[Use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2" s="59">
        <f>IFERROR(IF(FIND(DA$1,$W52)&gt;0,IF(INDEX([1]!Product_Pricing_Table[#Data],MATCH(DA$1,Products,0),2)="Cores",IF(HostBuild[Use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2" s="59">
        <f>IFERROR(IF(FIND(DB$1,$W52)&gt;0,IF(INDEX([1]!Product_Pricing_Table[#Data],MATCH(DB$1,Products,0),2)="Cores",IF(HostBuild[Use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2" s="59">
        <f>IFERROR(IF(FIND(DC$1,$W52)&gt;0,IF(INDEX([1]!Product_Pricing_Table[#Data],MATCH(DC$1,Products,0),2)="Cores",IF(HostBuild[Use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2" s="59">
        <f>IFERROR(IF(FIND(DD$1,$W52)&gt;0,IF(INDEX([1]!Product_Pricing_Table[#Data],MATCH(DD$1,Products,0),2)="Cores",IF(HostBuild[Use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2" s="59">
        <f>IFERROR(IF(FIND(DE$1,$W52)&gt;0,IF(INDEX([1]!Product_Pricing_Table[#Data],MATCH(DE$1,Products,0),2)="Cores",IF(HostBuild[Use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2" s="60">
        <f>IFERROR(IF(FIND(DF$1,$W52)&gt;0,IF(INDEX([1]!Product_Pricing_Table[#Data],MATCH(DF$1,Products,0),2)="Cores",IF(HostBuild[Use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2" s="60">
        <f>IFERROR(IF(FIND(DG$1,$W52)&gt;0,IF(INDEX([1]!Product_Pricing_Table[#Data],MATCH(DG$1,Products,0),2)="Cores",IF(HostBuild[Use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2" s="59">
        <f>IFERROR(IF(FIND(DH$1,$W52)&gt;0,IF(INDEX([1]!Product_Pricing_Table[#Data],MATCH(DH$1,Products,0),2)="Cores",IF(HostBuild[Use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2" s="60">
        <f>IFERROR(IF(FIND(DI$1,$W52)&gt;0,IF(INDEX([1]!Product_Pricing_Table[#Data],MATCH(DI$1,Products,0),2)="Cores",IF(HostBuild[Use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2" s="59">
        <f>IFERROR(IF(FIND(DJ$1,$W52)&gt;0,IF(INDEX([1]!Product_Pricing_Table[#Data],MATCH(DJ$1,Products,0),2)="Cores",IF(HostBuild[Use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2" s="59">
        <f>IFERROR(IF(FIND(DK$1,$W52)&gt;0,IF(INDEX([1]!Product_Pricing_Table[#Data],MATCH(DK$1,Products,0),2)="Cores",IF(HostBuild[Use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2" s="59">
        <f>IFERROR(IF(FIND(DL$1,$W52)&gt;0,IF(INDEX([1]!Product_Pricing_Table[#Data],MATCH(DL$1,Products,0),2)="Cores",IF(HostBuild[Use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2" s="59">
        <f>IFERROR(IF(FIND(DM$1,$W52)&gt;0,IF(INDEX([1]!Product_Pricing_Table[#Data],MATCH(DM$1,Products,0),2)="Cores",IF(HostBuild[Use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2" s="59">
        <f>IFERROR(IF(FIND(DN$1,$W52)&gt;0,IF(INDEX([1]!Product_Pricing_Table[#Data],MATCH(DN$1,Products,0),2)="Cores",IF(HostBuild[Use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2" s="59">
        <f>IFERROR(IF(FIND(DO$1,$W52)&gt;0,IF(INDEX([1]!Product_Pricing_Table[#Data],MATCH(DO$1,Products,0),2)="Cores",IF(HostBuild[Use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2" s="59">
        <f>IFERROR(IF(FIND(DP$1,$W52)&gt;0,IF(INDEX([1]!Product_Pricing_Table[#Data],MATCH(DP$1,Products,0),2)="Cores",IF(HostBuild[Use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2" s="59">
        <f>IFERROR(IF(FIND(DQ$1,$W52)&gt;0,IF(INDEX([1]!Product_Pricing_Table[#Data],MATCH(DQ$1,Products,0),2)="Cores",IF(HostBuild[Use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2" s="59">
        <f>IFERROR(IF(FIND(DR$1,$W52)&gt;0,IF(INDEX([1]!Product_Pricing_Table[#Data],MATCH(DR$1,Products,0),2)="Cores",IF(HostBuild[Use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2" s="59">
        <f>IFERROR(IF(FIND(DS$1,$W52)&gt;0,IF(INDEX([1]!Product_Pricing_Table[#Data],MATCH(DS$1,Products,0),2)="Cores",IF(HostBuild[Use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2" s="59">
        <f>IFERROR(IF(FIND(DT$1,$W52)&gt;0,IF(INDEX([1]!Product_Pricing_Table[#Data],MATCH(DT$1,Products,0),2)="Cores",IF(HostBuild[Use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2" s="59">
        <f>IFERROR(IF(FIND(DU$1,$W52)&gt;0,IF(INDEX([1]!Product_Pricing_Table[#Data],MATCH(DU$1,Products,0),2)="Cores",IF(HostBuild[Use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2" s="59">
        <f>IFERROR(IF(FIND(DV$1,$W52)&gt;0,IF(INDEX([1]!Product_Pricing_Table[#Data],MATCH(DV$1,Products,0),2)="Cores",IF(HostBuild[Use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2" s="59">
        <f>IFERROR(IF(FIND(DW$1,$W52)&gt;0,IF(INDEX([1]!Product_Pricing_Table[#Data],MATCH(DW$1,Products,0),2)="Cores",IF(HostBuild[Use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2" s="59">
        <f>IFERROR(IF(FIND(DX$1,$W52)&gt;0,IF(INDEX([1]!Product_Pricing_Table[#Data],MATCH(DX$1,Products,0),2)="Cores",IF(HostBuild[Use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2" s="59">
        <f>IFERROR(IF(FIND(DY$1,$W52)&gt;0,IF(INDEX([1]!Product_Pricing_Table[#Data],MATCH(DY$1,Products,0),2)="Cores",IF(HostBuild[Use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2" s="59">
        <f>IFERROR(IF(FIND(DZ$1,$W52)&gt;0,IF(INDEX([1]!Product_Pricing_Table[#Data],MATCH(DZ$1,Products,0),2)="Cores",IF(HostBuild[Use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2" s="59">
        <f>IFERROR(IF(FIND(EA$1,$W52)&gt;0,IF(INDEX([1]!Product_Pricing_Table[#Data],MATCH(EA$1,Products,0),2)="Cores",IF(HostBuild[Use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2" s="59">
        <f>IFERROR(IF(FIND(EB$1,$W52)&gt;0,IF(INDEX([1]!Product_Pricing_Table[#Data],MATCH(EB$1,Products,0),2)="Cores",IF(HostBuild[Use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2" s="60">
        <f>IFERROR(IF(FIND(EC$1,$W52)&gt;0,IF(INDEX([1]!Product_Pricing_Table[#Data],MATCH(EC$1,Products,0),2)="Cores",IF(HostBuild[Use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2" s="59">
        <f>IFERROR(IF(FIND(ED$1,$W52)&gt;0,IF(INDEX([1]!Product_Pricing_Table[#Data],MATCH(ED$1,Products,0),2)="Cores",IF(HostBuild[Use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2" s="59">
        <f>IFERROR(IF(FIND(EE$1,$W52)&gt;0,IF(INDEX([1]!Product_Pricing_Table[#Data],MATCH(EE$1,Products,0),2)="Cores",IF(HostBuild[Use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2" s="59">
        <f>IFERROR(IF(FIND(EF$1,$W52)&gt;0,IF(INDEX([1]!Product_Pricing_Table[#Data],MATCH(EF$1,Products,0),2)="Cores",IF(HostBuild[Use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2" s="59">
        <f>IFERROR(IF(FIND(EG$1,$W52)&gt;0,IF(INDEX([1]!Product_Pricing_Table[#Data],MATCH(EG$1,Products,0),2)="Cores",IF(HostBuild[Use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2" s="59">
        <f>IFERROR(IF(FIND(EH$1,$W52)&gt;0,IF(INDEX([1]!Product_Pricing_Table[#Data],MATCH(EH$1,Products,0),2)="Cores",IF(HostBuild[Use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2" s="59">
        <f>IFERROR(IF(FIND(EI$1,$W52)&gt;0,IF(INDEX([1]!Product_Pricing_Table[#Data],MATCH(EI$1,Products,0),2)="Cores",IF(HostBuild[Use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2" s="59">
        <f>IFERROR(IF(FIND(EJ$1,$W52)&gt;0,IF(INDEX([1]!Product_Pricing_Table[#Data],MATCH(EJ$1,Products,0),2)="Cores",IF(HostBuild[Use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2" s="60">
        <f>IFERROR(IF(FIND(EK$1,$W52)&gt;0,IF(INDEX([1]!Product_Pricing_Table[#Data],MATCH(EK$1,Products,0),2)="Cores",IF(HostBuild[Use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2" s="61"/>
      <c r="EM52" s="62"/>
      <c r="EN52" s="63"/>
      <c r="EO52"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2" s="132">
        <f>(HostBuild[Archive
Full (GB)]+HostBuild[Archive
Incr (GB)])*Storage_DC_Dist_Tape_2014</f>
        <v>0</v>
      </c>
      <c r="ER52" s="132">
        <f>IF(ISNUMBER(HostBuild[Server HW Costs
(Monthly)]),SUM(HostBuild[[#This Row],[Server HW Costs
(Monthly)]:[Tape Costs
(Monthly)]]),0)</f>
        <v>1003.9</v>
      </c>
      <c r="ES52" s="65">
        <f>HostBuild[Software Costs
'[Year 1']
(Monthly)]+HostBuild[Total Hardware Costs
(Monthly)]</f>
        <v>1003.9</v>
      </c>
      <c r="ET52" s="65">
        <f>IFERROR(IF(FIND("Safenet",HostBuild[Server Model]),Safenet_PSE_PL600_Maint,0),0)+IFERROR(IF(FIND("XI52",HostBuild[Server Model]),IBM_DIA_XI52_Maint,0),0)+HostBuild[Software Costs
'[After Year 1']
(Monthly)]+HostBuild[Total Hardware Costs
(Monthly)]</f>
        <v>1003.9</v>
      </c>
      <c r="EU52" s="66">
        <f>SUM(HostBuild[[#This Row],[Server Cost Breakdown]:[Network Cost]])</f>
        <v>1003.9</v>
      </c>
      <c r="EV52" s="67">
        <f>IF(HostBuild[Existing Server?]="Yes - Inside this BoM",0,SUMIF(HostBuild[Alias],HostBuild[Alias],HostBuild[CPU])+SUMIF(HostBuild[Alias],HostBuild[Alias],HostBuild[Existing CPUs]))</f>
        <v>2</v>
      </c>
      <c r="EW52" s="67">
        <f>IF(HostBuild[Existing Server?]="Yes - Inside this BoM",0,SUMIF(HostBuild[Alias],HostBuild[Alias],HostBuild[Cores 
(Licensed Units)])+SUMIF(HostBuild[Alias],HostBuild[Alias],HostBuild[Existing Cores]))</f>
        <v>0</v>
      </c>
      <c r="EX52" s="67">
        <f>IF(HostBuild[Existing Server?]="Yes - Inside this BoM",0,SUMIF(HostBuild[Alias],HostBuild[Alias],HostBuild[RAM 
(GB)])+SUMIF(HostBuild[Alias],HostBuild[Alias],HostBuild[Existing RAM (GB)]))</f>
        <v>256</v>
      </c>
      <c r="EY5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2" s="66">
        <f>IF(ISBLANK(HostBuild[Server Model]),0,IF(HostBuild[Server Tier]="VMware",0,VLOOKUP(HostBuild[Server Tier],[1]!ServerTierRates[#Data],2,0))*HostBuild[CPU]*IF(AND(HostBuild[Server Type]="pSeries",HostBuild[Virtual Platform Storage Type]="Cloud-SAN"),0.25,1))</f>
        <v>608</v>
      </c>
      <c r="FD52" s="66">
        <f>0</f>
        <v>0</v>
      </c>
      <c r="FE52" s="66">
        <f>IF(HostBuild[Server Type]="VMware",HostBuild[RAM 
(GB)]*IF(ISERROR(FIND("DevCloud", HostBuild[Server Model])&gt;0),vRAM_per_vCPU_2014_Monthly,vRAM_per_vCPU_2014_Daily*30),0)</f>
        <v>0</v>
      </c>
      <c r="FF5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2" s="69">
        <f>IF(HostBuild[Server Tier]="VMware",0,IF(LEFT(HostBuild[Existing Server?],3)="Yes",0,IF(OR(HostBuild[Server Type]="Sun",HostBuild[Server Type]="pSeries"),Support_Direct_Server_Sun_per_OS_2014,IF(HostBuild[Server Type]="x86",Support_Direct_Server_x86_Wintel_per_OS_2014,0))))</f>
        <v>187.1</v>
      </c>
      <c r="FI5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3" spans="1:165" hidden="1">
      <c r="A53" s="122" t="s">
        <v>53</v>
      </c>
      <c r="B53" s="36"/>
      <c r="C53" s="36"/>
      <c r="D53" s="36"/>
      <c r="E53" s="37"/>
      <c r="F53" s="37"/>
      <c r="G53" s="103"/>
      <c r="H53" s="103"/>
      <c r="I53" s="38"/>
      <c r="J53" s="37"/>
      <c r="K53" s="37"/>
      <c r="L53" s="37"/>
      <c r="M53" s="103" t="e">
        <f ca="1">IF(rngIsDate(HostBuild[CTO Acceptance]),"Y","N")</f>
        <v>#NAME?</v>
      </c>
      <c r="N53" s="123" t="s">
        <v>3</v>
      </c>
      <c r="O53" s="39"/>
      <c r="P53" s="39"/>
      <c r="Q53" s="123" t="s">
        <v>52</v>
      </c>
      <c r="R53" s="126" t="str">
        <f>IF(NOT(ISBLANK(HostBuild[Env Label])),IFERROR(VLOOKUP(HostBuild[Env Label],[1]!tEnv[#Data],3,FALSE),""),"")</f>
        <v/>
      </c>
      <c r="S53" s="104"/>
      <c r="T53" s="40"/>
      <c r="U53" s="105"/>
      <c r="V53" s="123" t="s">
        <v>82</v>
      </c>
      <c r="W53" s="123" t="s">
        <v>83</v>
      </c>
      <c r="X53" s="123" t="s">
        <v>57</v>
      </c>
      <c r="Y53" s="123" t="s">
        <v>58</v>
      </c>
      <c r="Z53" s="126" t="str">
        <f>IF(NOT(ISBLANK(HostBuild[[#This Row],[Product 
(Acronym)]])),CONCATENATE(HostBuild[[#This Row],[Type]],"-",HostBuild[[#This Row],[Product 
(Acronym)]]),"")</f>
        <v>AP-ESB</v>
      </c>
      <c r="AA53" s="106"/>
      <c r="AB53" s="106" t="s">
        <v>76</v>
      </c>
      <c r="AC53" s="41"/>
      <c r="AD53" s="42"/>
      <c r="AE53" s="42"/>
      <c r="AF53" s="43"/>
      <c r="AG53" s="124"/>
      <c r="AH53" s="107"/>
      <c r="AI53" s="124" t="s">
        <v>136</v>
      </c>
      <c r="AJ53" s="123">
        <f>IF(COUNTIF(HostBuild[Alias],HostBuild[Alias]),1/COUNTIF(HostBuild[Alias],HostBuild[Alias]),0)</f>
        <v>1</v>
      </c>
      <c r="AK53" s="124"/>
      <c r="AL53" s="124"/>
      <c r="AM53" s="44" t="s">
        <v>62</v>
      </c>
      <c r="AN53" s="45" t="str">
        <f>IF(NOT(ISBLANK(HostBuild[Server Model])),VLOOKUP(HostBuild[Server Model],[1]!ServerModelsTier[#Data],2,FALSE),"")</f>
        <v>x86 Tier 3</v>
      </c>
      <c r="AO53" s="45" t="str">
        <f>IF(NOT(ISBLANK(HostBuild[Server Model])),VLOOKUP(HostBuild[Server Model],[1]!ServerModelsTier[#Data],5,FALSE),"")</f>
        <v>x86</v>
      </c>
      <c r="AP53" s="44"/>
      <c r="AQ53" s="44" t="s">
        <v>63</v>
      </c>
      <c r="AR53" s="46">
        <v>2</v>
      </c>
      <c r="AS53" s="108"/>
      <c r="AT53" s="47"/>
      <c r="AU53" s="109" t="str">
        <f>IF(IFERROR(FIND("P-Series",HostBuild[Server Tier]),0),CEILING((HostBuild[Existing CPUs]+HostBuild[CPU])*16,8),"")</f>
        <v/>
      </c>
      <c r="AV53" s="48">
        <v>256</v>
      </c>
      <c r="AW53" s="124"/>
      <c r="AX53" s="124"/>
      <c r="AY53" s="124"/>
      <c r="AZ53" s="49"/>
      <c r="BA53" s="124"/>
      <c r="BB53" s="124"/>
      <c r="BC53" s="42"/>
      <c r="BD53" s="124"/>
      <c r="BE53" s="124"/>
      <c r="BF53" s="124"/>
      <c r="BG53" s="124"/>
      <c r="BH53" s="124"/>
      <c r="BI53" s="124"/>
      <c r="BJ53" s="124"/>
      <c r="BK53" s="133"/>
      <c r="BL53" s="127"/>
      <c r="BM53" s="129">
        <f>IF(ISNUMBER(HostBuild[Recommended SAN (GB)]),HostBuild[Recommended SAN (GB)])+IF(HostBuild[Additional SAN (GB)]&gt;0,CEILING(HostBuild[Additional SAN (GB)],LUN),-(CEILING(-HostBuild[Additional SAN (GB)],LUN)))</f>
        <v>0</v>
      </c>
      <c r="BN53" s="128"/>
      <c r="BO53" s="129">
        <f>HostBuild[SAN (GB)
NEEDED TODAY]+CEILING(HostBuild[SAN (GB)
RESERVED
DO NOT USE TO BUILD], LUN)</f>
        <v>0</v>
      </c>
      <c r="BP53" s="130"/>
      <c r="BQ53" s="131"/>
      <c r="BR53" s="125" t="s">
        <v>64</v>
      </c>
      <c r="BS53" s="110">
        <f>IF(HostBuild[Existing Server?]&lt;&gt;"Yes - Inside this BoM",IF(ISNUMBER(HostBuild[RAM 
(GB)]),IF(HostBuild[Existing RAM (GB)]+HostBuild[RAM 
(GB)]&gt;0,IF(HostBuild[Virtual Platform Storage Type]="NAS",110+HostBuild[Existing RAM (GB)]+HostBuild[RAM 
(GB)]*1.75,0),0),0),0)</f>
        <v>0</v>
      </c>
      <c r="BT53" s="111"/>
      <c r="BU53" s="112">
        <f>IF(ISNUMBER(HostBuild[Recommended NAS (GB)]),HostBuild[Recommended NAS (GB)])+HostBuild[Additional NAS (GB)]</f>
        <v>0</v>
      </c>
      <c r="BV53" s="50"/>
      <c r="BW53" s="50"/>
      <c r="BX53" s="133">
        <f>IFERROR((HostBuild[SAN (GB)
End-State
DO NOT USE TO BUILD]+HostBuild[SAN (GB) Shared])*25%,"")</f>
        <v>0</v>
      </c>
      <c r="BY53" s="113">
        <f>IFERROR(HostBuild[Archive
Full (GB)]*15%,"")</f>
        <v>0</v>
      </c>
      <c r="BZ53" s="51"/>
      <c r="CA53" s="51"/>
      <c r="CB53" s="52"/>
      <c r="CC53" s="53"/>
      <c r="CD53" s="52"/>
      <c r="CE53" s="54"/>
      <c r="CF53" s="128"/>
      <c r="CG53" s="114"/>
      <c r="CH53" s="55"/>
      <c r="CI53" s="56"/>
      <c r="CJ53" s="57" t="s">
        <v>85</v>
      </c>
      <c r="CK53" s="58"/>
      <c r="CL53" s="59">
        <f>IFERROR(IF(FIND(CL$1,$W53)&gt;0,IF(INDEX([1]!Product_Pricing_Table[#Data],MATCH(CL$1,Products,0),2)="Cores",IF(HostBuild[Use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3" s="59">
        <f>IFERROR(IF(FIND(CM$1,$W53)&gt;0,IF(INDEX([1]!Product_Pricing_Table[#Data],MATCH(CM$1,Products,0),2)="Cores",IF(HostBuild[Use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53" s="59">
        <f>IFERROR(IF(FIND(CN$1,$W53)&gt;0,IF(INDEX([1]!Product_Pricing_Table[#Data],MATCH(CN$1,Products,0),2)="Cores",IF(HostBuild[Use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3" s="59">
        <f>IFERROR(IF(FIND(CO$1,$W53)&gt;0,IF(INDEX([1]!Product_Pricing_Table[#Data],MATCH(CO$1,Products,0),2)="Cores",IF(HostBuild[Use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3" s="59">
        <f>IFERROR(IF(FIND(CP$1,$W53)&gt;0,IF(INDEX([1]!Product_Pricing_Table[#Data],MATCH(CP$1,Products,0),2)="Cores",IF(HostBuild[Use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3" s="59">
        <f>IFERROR(IF(FIND(CQ$1,$W53)&gt;0,IF(INDEX([1]!Product_Pricing_Table[#Data],MATCH(CQ$1,Products,0),2)="Cores",IF(HostBuild[Use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3" s="59">
        <f>IFERROR(IF(FIND(CR$1,$W53)&gt;0,IF(INDEX([1]!Product_Pricing_Table[#Data],MATCH(CR$1,Products,0),2)="Cores",IF(HostBuild[Use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3" s="59">
        <f>IFERROR(IF(FIND(CS$1,$W53)&gt;0,IF(INDEX([1]!Product_Pricing_Table[#Data],MATCH(CS$1,Products,0),2)="Cores",IF(HostBuild[Use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3" s="59">
        <f>IFERROR(IF(FIND(CT$1,$W53)&gt;0,IF(INDEX([1]!Product_Pricing_Table[#Data],MATCH(CT$1,Products,0),2)="Cores",IF(HostBuild[Use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3" s="59">
        <f>IFERROR(IF(FIND(CU$1,$W53)&gt;0,IF(INDEX([1]!Product_Pricing_Table[#Data],MATCH(CU$1,Products,0),2)="Cores",IF(HostBuild[Use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3" s="59">
        <f>IFERROR(IF(FIND(CV$1,$W53)&gt;0,IF(INDEX([1]!Product_Pricing_Table[#Data],MATCH(CV$1,Products,0),2)="Cores",IF(HostBuild[Use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3" s="59">
        <f>IFERROR(IF(FIND(CW$1,$W53)&gt;0,IF(INDEX([1]!Product_Pricing_Table[#Data],MATCH(CW$1,Products,0),2)="Cores",IF(HostBuild[Use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3" s="59">
        <f>IFERROR(IF(FIND(CX$1,$W53)&gt;0,IF(INDEX([1]!Product_Pricing_Table[#Data],MATCH(CX$1,Products,0),2)="Cores",IF(HostBuild[Use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3" s="59">
        <f>IFERROR(IF(FIND(CY$1,$W53)&gt;0,IF(INDEX([1]!Product_Pricing_Table[#Data],MATCH(CY$1,Products,0),2)="Cores",IF(HostBuild[Use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3" s="59">
        <f>IFERROR(IF(FIND(CZ$1,$W53)&gt;0,IF(INDEX([1]!Product_Pricing_Table[#Data],MATCH(CZ$1,Products,0),2)="Cores",IF(HostBuild[Use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3" s="59">
        <f>IFERROR(IF(FIND(DA$1,$W53)&gt;0,IF(INDEX([1]!Product_Pricing_Table[#Data],MATCH(DA$1,Products,0),2)="Cores",IF(HostBuild[Use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3" s="59">
        <f>IFERROR(IF(FIND(DB$1,$W53)&gt;0,IF(INDEX([1]!Product_Pricing_Table[#Data],MATCH(DB$1,Products,0),2)="Cores",IF(HostBuild[Use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3" s="59">
        <f>IFERROR(IF(FIND(DC$1,$W53)&gt;0,IF(INDEX([1]!Product_Pricing_Table[#Data],MATCH(DC$1,Products,0),2)="Cores",IF(HostBuild[Use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3" s="59">
        <f>IFERROR(IF(FIND(DD$1,$W53)&gt;0,IF(INDEX([1]!Product_Pricing_Table[#Data],MATCH(DD$1,Products,0),2)="Cores",IF(HostBuild[Use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3" s="59">
        <f>IFERROR(IF(FIND(DE$1,$W53)&gt;0,IF(INDEX([1]!Product_Pricing_Table[#Data],MATCH(DE$1,Products,0),2)="Cores",IF(HostBuild[Use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3" s="60">
        <f>IFERROR(IF(FIND(DF$1,$W53)&gt;0,IF(INDEX([1]!Product_Pricing_Table[#Data],MATCH(DF$1,Products,0),2)="Cores",IF(HostBuild[Use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3" s="60">
        <f>IFERROR(IF(FIND(DG$1,$W53)&gt;0,IF(INDEX([1]!Product_Pricing_Table[#Data],MATCH(DG$1,Products,0),2)="Cores",IF(HostBuild[Use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3" s="59">
        <f>IFERROR(IF(FIND(DH$1,$W53)&gt;0,IF(INDEX([1]!Product_Pricing_Table[#Data],MATCH(DH$1,Products,0),2)="Cores",IF(HostBuild[Use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3" s="60">
        <f>IFERROR(IF(FIND(DI$1,$W53)&gt;0,IF(INDEX([1]!Product_Pricing_Table[#Data],MATCH(DI$1,Products,0),2)="Cores",IF(HostBuild[Use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3" s="59">
        <f>IFERROR(IF(FIND(DJ$1,$W53)&gt;0,IF(INDEX([1]!Product_Pricing_Table[#Data],MATCH(DJ$1,Products,0),2)="Cores",IF(HostBuild[Use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3" s="59">
        <f>IFERROR(IF(FIND(DK$1,$W53)&gt;0,IF(INDEX([1]!Product_Pricing_Table[#Data],MATCH(DK$1,Products,0),2)="Cores",IF(HostBuild[Use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3" s="59">
        <f>IFERROR(IF(FIND(DL$1,$W53)&gt;0,IF(INDEX([1]!Product_Pricing_Table[#Data],MATCH(DL$1,Products,0),2)="Cores",IF(HostBuild[Use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3" s="59">
        <f>IFERROR(IF(FIND(DM$1,$W53)&gt;0,IF(INDEX([1]!Product_Pricing_Table[#Data],MATCH(DM$1,Products,0),2)="Cores",IF(HostBuild[Use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3" s="59">
        <f>IFERROR(IF(FIND(DN$1,$W53)&gt;0,IF(INDEX([1]!Product_Pricing_Table[#Data],MATCH(DN$1,Products,0),2)="Cores",IF(HostBuild[Use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3" s="59">
        <f>IFERROR(IF(FIND(DO$1,$W53)&gt;0,IF(INDEX([1]!Product_Pricing_Table[#Data],MATCH(DO$1,Products,0),2)="Cores",IF(HostBuild[Use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3" s="59">
        <f>IFERROR(IF(FIND(DP$1,$W53)&gt;0,IF(INDEX([1]!Product_Pricing_Table[#Data],MATCH(DP$1,Products,0),2)="Cores",IF(HostBuild[Use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3" s="59">
        <f>IFERROR(IF(FIND(DQ$1,$W53)&gt;0,IF(INDEX([1]!Product_Pricing_Table[#Data],MATCH(DQ$1,Products,0),2)="Cores",IF(HostBuild[Use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3" s="59">
        <f>IFERROR(IF(FIND(DR$1,$W53)&gt;0,IF(INDEX([1]!Product_Pricing_Table[#Data],MATCH(DR$1,Products,0),2)="Cores",IF(HostBuild[Use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3" s="59">
        <f>IFERROR(IF(FIND(DS$1,$W53)&gt;0,IF(INDEX([1]!Product_Pricing_Table[#Data],MATCH(DS$1,Products,0),2)="Cores",IF(HostBuild[Use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3" s="59">
        <f>IFERROR(IF(FIND(DT$1,$W53)&gt;0,IF(INDEX([1]!Product_Pricing_Table[#Data],MATCH(DT$1,Products,0),2)="Cores",IF(HostBuild[Use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3" s="59">
        <f>IFERROR(IF(FIND(DU$1,$W53)&gt;0,IF(INDEX([1]!Product_Pricing_Table[#Data],MATCH(DU$1,Products,0),2)="Cores",IF(HostBuild[Use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3" s="59">
        <f>IFERROR(IF(FIND(DV$1,$W53)&gt;0,IF(INDEX([1]!Product_Pricing_Table[#Data],MATCH(DV$1,Products,0),2)="Cores",IF(HostBuild[Use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3" s="59">
        <f>IFERROR(IF(FIND(DW$1,$W53)&gt;0,IF(INDEX([1]!Product_Pricing_Table[#Data],MATCH(DW$1,Products,0),2)="Cores",IF(HostBuild[Use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3" s="59">
        <f>IFERROR(IF(FIND(DX$1,$W53)&gt;0,IF(INDEX([1]!Product_Pricing_Table[#Data],MATCH(DX$1,Products,0),2)="Cores",IF(HostBuild[Use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3" s="59">
        <f>IFERROR(IF(FIND(DY$1,$W53)&gt;0,IF(INDEX([1]!Product_Pricing_Table[#Data],MATCH(DY$1,Products,0),2)="Cores",IF(HostBuild[Use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3" s="59">
        <f>IFERROR(IF(FIND(DZ$1,$W53)&gt;0,IF(INDEX([1]!Product_Pricing_Table[#Data],MATCH(DZ$1,Products,0),2)="Cores",IF(HostBuild[Use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3" s="59">
        <f>IFERROR(IF(FIND(EA$1,$W53)&gt;0,IF(INDEX([1]!Product_Pricing_Table[#Data],MATCH(EA$1,Products,0),2)="Cores",IF(HostBuild[Use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3" s="59">
        <f>IFERROR(IF(FIND(EB$1,$W53)&gt;0,IF(INDEX([1]!Product_Pricing_Table[#Data],MATCH(EB$1,Products,0),2)="Cores",IF(HostBuild[Use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3" s="60">
        <f>IFERROR(IF(FIND(EC$1,$W53)&gt;0,IF(INDEX([1]!Product_Pricing_Table[#Data],MATCH(EC$1,Products,0),2)="Cores",IF(HostBuild[Use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3" s="59">
        <f>IFERROR(IF(FIND(ED$1,$W53)&gt;0,IF(INDEX([1]!Product_Pricing_Table[#Data],MATCH(ED$1,Products,0),2)="Cores",IF(HostBuild[Use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3" s="59">
        <f>IFERROR(IF(FIND(EE$1,$W53)&gt;0,IF(INDEX([1]!Product_Pricing_Table[#Data],MATCH(EE$1,Products,0),2)="Cores",IF(HostBuild[Use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3" s="59">
        <f>IFERROR(IF(FIND(EF$1,$W53)&gt;0,IF(INDEX([1]!Product_Pricing_Table[#Data],MATCH(EF$1,Products,0),2)="Cores",IF(HostBuild[Use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3" s="59">
        <f>IFERROR(IF(FIND(EG$1,$W53)&gt;0,IF(INDEX([1]!Product_Pricing_Table[#Data],MATCH(EG$1,Products,0),2)="Cores",IF(HostBuild[Use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3" s="59">
        <f>IFERROR(IF(FIND(EH$1,$W53)&gt;0,IF(INDEX([1]!Product_Pricing_Table[#Data],MATCH(EH$1,Products,0),2)="Cores",IF(HostBuild[Use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3" s="59">
        <f>IFERROR(IF(FIND(EI$1,$W53)&gt;0,IF(INDEX([1]!Product_Pricing_Table[#Data],MATCH(EI$1,Products,0),2)="Cores",IF(HostBuild[Use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3" s="59">
        <f>IFERROR(IF(FIND(EJ$1,$W53)&gt;0,IF(INDEX([1]!Product_Pricing_Table[#Data],MATCH(EJ$1,Products,0),2)="Cores",IF(HostBuild[Use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3" s="60">
        <f>IFERROR(IF(FIND(EK$1,$W53)&gt;0,IF(INDEX([1]!Product_Pricing_Table[#Data],MATCH(EK$1,Products,0),2)="Cores",IF(HostBuild[Use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3" s="61"/>
      <c r="EM53" s="62"/>
      <c r="EN53" s="63"/>
      <c r="EO53"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3" s="132">
        <f>(HostBuild[Archive
Full (GB)]+HostBuild[Archive
Incr (GB)])*Storage_DC_Dist_Tape_2014</f>
        <v>0</v>
      </c>
      <c r="ER53" s="132">
        <f>IF(ISNUMBER(HostBuild[Server HW Costs
(Monthly)]),SUM(HostBuild[[#This Row],[Server HW Costs
(Monthly)]:[Tape Costs
(Monthly)]]),0)</f>
        <v>1003.9</v>
      </c>
      <c r="ES53" s="65">
        <f>HostBuild[Software Costs
'[Year 1']
(Monthly)]+HostBuild[Total Hardware Costs
(Monthly)]</f>
        <v>1003.9</v>
      </c>
      <c r="ET53" s="65">
        <f>IFERROR(IF(FIND("Safenet",HostBuild[Server Model]),Safenet_PSE_PL600_Maint,0),0)+IFERROR(IF(FIND("XI52",HostBuild[Server Model]),IBM_DIA_XI52_Maint,0),0)+HostBuild[Software Costs
'[After Year 1']
(Monthly)]+HostBuild[Total Hardware Costs
(Monthly)]</f>
        <v>1003.9</v>
      </c>
      <c r="EU53" s="66">
        <f>SUM(HostBuild[[#This Row],[Server Cost Breakdown]:[Network Cost]])</f>
        <v>1003.9</v>
      </c>
      <c r="EV53" s="67">
        <f>IF(HostBuild[Existing Server?]="Yes - Inside this BoM",0,SUMIF(HostBuild[Alias],HostBuild[Alias],HostBuild[CPU])+SUMIF(HostBuild[Alias],HostBuild[Alias],HostBuild[Existing CPUs]))</f>
        <v>2</v>
      </c>
      <c r="EW53" s="67">
        <f>IF(HostBuild[Existing Server?]="Yes - Inside this BoM",0,SUMIF(HostBuild[Alias],HostBuild[Alias],HostBuild[Cores 
(Licensed Units)])+SUMIF(HostBuild[Alias],HostBuild[Alias],HostBuild[Existing Cores]))</f>
        <v>0</v>
      </c>
      <c r="EX53" s="67">
        <f>IF(HostBuild[Existing Server?]="Yes - Inside this BoM",0,SUMIF(HostBuild[Alias],HostBuild[Alias],HostBuild[RAM 
(GB)])+SUMIF(HostBuild[Alias],HostBuild[Alias],HostBuild[Existing RAM (GB)]))</f>
        <v>256</v>
      </c>
      <c r="EY5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3" s="66">
        <f>IF(ISBLANK(HostBuild[Server Model]),0,IF(HostBuild[Server Tier]="VMware",0,VLOOKUP(HostBuild[Server Tier],[1]!ServerTierRates[#Data],2,0))*HostBuild[CPU]*IF(AND(HostBuild[Server Type]="pSeries",HostBuild[Virtual Platform Storage Type]="Cloud-SAN"),0.25,1))</f>
        <v>608</v>
      </c>
      <c r="FD53" s="66">
        <f>0</f>
        <v>0</v>
      </c>
      <c r="FE53" s="66">
        <f>IF(HostBuild[Server Type]="VMware",HostBuild[RAM 
(GB)]*IF(ISERROR(FIND("DevCloud", HostBuild[Server Model])&gt;0),vRAM_per_vCPU_2014_Monthly,vRAM_per_vCPU_2014_Daily*30),0)</f>
        <v>0</v>
      </c>
      <c r="FF5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3" s="69">
        <f>IF(HostBuild[Server Tier]="VMware",0,IF(LEFT(HostBuild[Existing Server?],3)="Yes",0,IF(OR(HostBuild[Server Type]="Sun",HostBuild[Server Type]="pSeries"),Support_Direct_Server_Sun_per_OS_2014,IF(HostBuild[Server Type]="x86",Support_Direct_Server_x86_Wintel_per_OS_2014,0))))</f>
        <v>187.1</v>
      </c>
      <c r="FI5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4" spans="1:165" hidden="1">
      <c r="A54" s="122" t="s">
        <v>53</v>
      </c>
      <c r="B54" s="36"/>
      <c r="C54" s="36"/>
      <c r="D54" s="36"/>
      <c r="E54" s="37"/>
      <c r="F54" s="37"/>
      <c r="G54" s="103"/>
      <c r="H54" s="103"/>
      <c r="I54" s="38"/>
      <c r="J54" s="37"/>
      <c r="K54" s="37"/>
      <c r="L54" s="37"/>
      <c r="M54" s="103" t="e">
        <f ca="1">IF(rngIsDate(HostBuild[CTO Acceptance]),"Y","N")</f>
        <v>#NAME?</v>
      </c>
      <c r="N54" s="123" t="s">
        <v>3</v>
      </c>
      <c r="O54" s="39"/>
      <c r="P54" s="39"/>
      <c r="Q54" s="123" t="s">
        <v>52</v>
      </c>
      <c r="R54" s="126" t="str">
        <f>IF(NOT(ISBLANK(HostBuild[Env Label])),IFERROR(VLOOKUP(HostBuild[Env Label],[1]!tEnv[#Data],3,FALSE),""),"")</f>
        <v/>
      </c>
      <c r="S54" s="104"/>
      <c r="T54" s="40"/>
      <c r="U54" s="105"/>
      <c r="V54" s="123" t="s">
        <v>82</v>
      </c>
      <c r="W54" s="123" t="s">
        <v>83</v>
      </c>
      <c r="X54" s="123" t="s">
        <v>57</v>
      </c>
      <c r="Y54" s="123" t="s">
        <v>58</v>
      </c>
      <c r="Z54" s="126" t="str">
        <f>IF(NOT(ISBLANK(HostBuild[[#This Row],[Product 
(Acronym)]])),CONCATENATE(HostBuild[[#This Row],[Type]],"-",HostBuild[[#This Row],[Product 
(Acronym)]]),"")</f>
        <v>AP-ESB</v>
      </c>
      <c r="AA54" s="106"/>
      <c r="AB54" s="106" t="s">
        <v>76</v>
      </c>
      <c r="AC54" s="41"/>
      <c r="AD54" s="42"/>
      <c r="AE54" s="42"/>
      <c r="AF54" s="43"/>
      <c r="AG54" s="124"/>
      <c r="AH54" s="107"/>
      <c r="AI54" s="124" t="s">
        <v>137</v>
      </c>
      <c r="AJ54" s="123">
        <f>IF(COUNTIF(HostBuild[Alias],HostBuild[Alias]),1/COUNTIF(HostBuild[Alias],HostBuild[Alias]),0)</f>
        <v>1</v>
      </c>
      <c r="AK54" s="124"/>
      <c r="AL54" s="124"/>
      <c r="AM54" s="44" t="s">
        <v>62</v>
      </c>
      <c r="AN54" s="45" t="str">
        <f>IF(NOT(ISBLANK(HostBuild[Server Model])),VLOOKUP(HostBuild[Server Model],[1]!ServerModelsTier[#Data],2,FALSE),"")</f>
        <v>x86 Tier 3</v>
      </c>
      <c r="AO54" s="45" t="str">
        <f>IF(NOT(ISBLANK(HostBuild[Server Model])),VLOOKUP(HostBuild[Server Model],[1]!ServerModelsTier[#Data],5,FALSE),"")</f>
        <v>x86</v>
      </c>
      <c r="AP54" s="44"/>
      <c r="AQ54" s="44" t="s">
        <v>63</v>
      </c>
      <c r="AR54" s="46">
        <v>2</v>
      </c>
      <c r="AS54" s="108"/>
      <c r="AT54" s="47"/>
      <c r="AU54" s="109" t="str">
        <f>IF(IFERROR(FIND("P-Series",HostBuild[Server Tier]),0),CEILING((HostBuild[Existing CPUs]+HostBuild[CPU])*16,8),"")</f>
        <v/>
      </c>
      <c r="AV54" s="48">
        <v>256</v>
      </c>
      <c r="AW54" s="124"/>
      <c r="AX54" s="124"/>
      <c r="AY54" s="124"/>
      <c r="AZ54" s="49"/>
      <c r="BA54" s="124"/>
      <c r="BB54" s="124"/>
      <c r="BC54" s="42"/>
      <c r="BD54" s="124"/>
      <c r="BE54" s="124"/>
      <c r="BF54" s="124"/>
      <c r="BG54" s="124"/>
      <c r="BH54" s="124"/>
      <c r="BI54" s="124"/>
      <c r="BJ54" s="124"/>
      <c r="BK54" s="133"/>
      <c r="BL54" s="127"/>
      <c r="BM54" s="129">
        <f>IF(ISNUMBER(HostBuild[Recommended SAN (GB)]),HostBuild[Recommended SAN (GB)])+IF(HostBuild[Additional SAN (GB)]&gt;0,CEILING(HostBuild[Additional SAN (GB)],LUN),-(CEILING(-HostBuild[Additional SAN (GB)],LUN)))</f>
        <v>0</v>
      </c>
      <c r="BN54" s="128"/>
      <c r="BO54" s="129">
        <f>HostBuild[SAN (GB)
NEEDED TODAY]+CEILING(HostBuild[SAN (GB)
RESERVED
DO NOT USE TO BUILD], LUN)</f>
        <v>0</v>
      </c>
      <c r="BP54" s="130"/>
      <c r="BQ54" s="131"/>
      <c r="BR54" s="125" t="s">
        <v>64</v>
      </c>
      <c r="BS54" s="110">
        <f>IF(HostBuild[Existing Server?]&lt;&gt;"Yes - Inside this BoM",IF(ISNUMBER(HostBuild[RAM 
(GB)]),IF(HostBuild[Existing RAM (GB)]+HostBuild[RAM 
(GB)]&gt;0,IF(HostBuild[Virtual Platform Storage Type]="NAS",110+HostBuild[Existing RAM (GB)]+HostBuild[RAM 
(GB)]*1.75,0),0),0),0)</f>
        <v>0</v>
      </c>
      <c r="BT54" s="111"/>
      <c r="BU54" s="112">
        <f>IF(ISNUMBER(HostBuild[Recommended NAS (GB)]),HostBuild[Recommended NAS (GB)])+HostBuild[Additional NAS (GB)]</f>
        <v>0</v>
      </c>
      <c r="BV54" s="50"/>
      <c r="BW54" s="50"/>
      <c r="BX54" s="133">
        <f>IFERROR((HostBuild[SAN (GB)
End-State
DO NOT USE TO BUILD]+HostBuild[SAN (GB) Shared])*25%,"")</f>
        <v>0</v>
      </c>
      <c r="BY54" s="113">
        <f>IFERROR(HostBuild[Archive
Full (GB)]*15%,"")</f>
        <v>0</v>
      </c>
      <c r="BZ54" s="51"/>
      <c r="CA54" s="51"/>
      <c r="CB54" s="52"/>
      <c r="CC54" s="53"/>
      <c r="CD54" s="52"/>
      <c r="CE54" s="54"/>
      <c r="CF54" s="128"/>
      <c r="CG54" s="114"/>
      <c r="CH54" s="55"/>
      <c r="CI54" s="56"/>
      <c r="CJ54" s="57" t="s">
        <v>85</v>
      </c>
      <c r="CK54" s="58"/>
      <c r="CL54" s="59">
        <f>IFERROR(IF(FIND(CL$1,$W54)&gt;0,IF(INDEX([1]!Product_Pricing_Table[#Data],MATCH(CL$1,Products,0),2)="Cores",IF(HostBuild[Use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4" s="59">
        <f>IFERROR(IF(FIND(CM$1,$W54)&gt;0,IF(INDEX([1]!Product_Pricing_Table[#Data],MATCH(CM$1,Products,0),2)="Cores",IF(HostBuild[Use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54" s="59">
        <f>IFERROR(IF(FIND(CN$1,$W54)&gt;0,IF(INDEX([1]!Product_Pricing_Table[#Data],MATCH(CN$1,Products,0),2)="Cores",IF(HostBuild[Use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4" s="59">
        <f>IFERROR(IF(FIND(CO$1,$W54)&gt;0,IF(INDEX([1]!Product_Pricing_Table[#Data],MATCH(CO$1,Products,0),2)="Cores",IF(HostBuild[Use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4" s="59">
        <f>IFERROR(IF(FIND(CP$1,$W54)&gt;0,IF(INDEX([1]!Product_Pricing_Table[#Data],MATCH(CP$1,Products,0),2)="Cores",IF(HostBuild[Use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4" s="59">
        <f>IFERROR(IF(FIND(CQ$1,$W54)&gt;0,IF(INDEX([1]!Product_Pricing_Table[#Data],MATCH(CQ$1,Products,0),2)="Cores",IF(HostBuild[Use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4" s="59">
        <f>IFERROR(IF(FIND(CR$1,$W54)&gt;0,IF(INDEX([1]!Product_Pricing_Table[#Data],MATCH(CR$1,Products,0),2)="Cores",IF(HostBuild[Use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4" s="59">
        <f>IFERROR(IF(FIND(CS$1,$W54)&gt;0,IF(INDEX([1]!Product_Pricing_Table[#Data],MATCH(CS$1,Products,0),2)="Cores",IF(HostBuild[Use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4" s="59">
        <f>IFERROR(IF(FIND(CT$1,$W54)&gt;0,IF(INDEX([1]!Product_Pricing_Table[#Data],MATCH(CT$1,Products,0),2)="Cores",IF(HostBuild[Use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4" s="59">
        <f>IFERROR(IF(FIND(CU$1,$W54)&gt;0,IF(INDEX([1]!Product_Pricing_Table[#Data],MATCH(CU$1,Products,0),2)="Cores",IF(HostBuild[Use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4" s="59">
        <f>IFERROR(IF(FIND(CV$1,$W54)&gt;0,IF(INDEX([1]!Product_Pricing_Table[#Data],MATCH(CV$1,Products,0),2)="Cores",IF(HostBuild[Use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4" s="59">
        <f>IFERROR(IF(FIND(CW$1,$W54)&gt;0,IF(INDEX([1]!Product_Pricing_Table[#Data],MATCH(CW$1,Products,0),2)="Cores",IF(HostBuild[Use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4" s="59">
        <f>IFERROR(IF(FIND(CX$1,$W54)&gt;0,IF(INDEX([1]!Product_Pricing_Table[#Data],MATCH(CX$1,Products,0),2)="Cores",IF(HostBuild[Use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4" s="59">
        <f>IFERROR(IF(FIND(CY$1,$W54)&gt;0,IF(INDEX([1]!Product_Pricing_Table[#Data],MATCH(CY$1,Products,0),2)="Cores",IF(HostBuild[Use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4" s="59">
        <f>IFERROR(IF(FIND(CZ$1,$W54)&gt;0,IF(INDEX([1]!Product_Pricing_Table[#Data],MATCH(CZ$1,Products,0),2)="Cores",IF(HostBuild[Use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4" s="59">
        <f>IFERROR(IF(FIND(DA$1,$W54)&gt;0,IF(INDEX([1]!Product_Pricing_Table[#Data],MATCH(DA$1,Products,0),2)="Cores",IF(HostBuild[Use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4" s="59">
        <f>IFERROR(IF(FIND(DB$1,$W54)&gt;0,IF(INDEX([1]!Product_Pricing_Table[#Data],MATCH(DB$1,Products,0),2)="Cores",IF(HostBuild[Use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4" s="59">
        <f>IFERROR(IF(FIND(DC$1,$W54)&gt;0,IF(INDEX([1]!Product_Pricing_Table[#Data],MATCH(DC$1,Products,0),2)="Cores",IF(HostBuild[Use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4" s="59">
        <f>IFERROR(IF(FIND(DD$1,$W54)&gt;0,IF(INDEX([1]!Product_Pricing_Table[#Data],MATCH(DD$1,Products,0),2)="Cores",IF(HostBuild[Use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4" s="59">
        <f>IFERROR(IF(FIND(DE$1,$W54)&gt;0,IF(INDEX([1]!Product_Pricing_Table[#Data],MATCH(DE$1,Products,0),2)="Cores",IF(HostBuild[Use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4" s="60">
        <f>IFERROR(IF(FIND(DF$1,$W54)&gt;0,IF(INDEX([1]!Product_Pricing_Table[#Data],MATCH(DF$1,Products,0),2)="Cores",IF(HostBuild[Use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4" s="60">
        <f>IFERROR(IF(FIND(DG$1,$W54)&gt;0,IF(INDEX([1]!Product_Pricing_Table[#Data],MATCH(DG$1,Products,0),2)="Cores",IF(HostBuild[Use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4" s="59">
        <f>IFERROR(IF(FIND(DH$1,$W54)&gt;0,IF(INDEX([1]!Product_Pricing_Table[#Data],MATCH(DH$1,Products,0),2)="Cores",IF(HostBuild[Use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4" s="60">
        <f>IFERROR(IF(FIND(DI$1,$W54)&gt;0,IF(INDEX([1]!Product_Pricing_Table[#Data],MATCH(DI$1,Products,0),2)="Cores",IF(HostBuild[Use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4" s="59">
        <f>IFERROR(IF(FIND(DJ$1,$W54)&gt;0,IF(INDEX([1]!Product_Pricing_Table[#Data],MATCH(DJ$1,Products,0),2)="Cores",IF(HostBuild[Use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4" s="59">
        <f>IFERROR(IF(FIND(DK$1,$W54)&gt;0,IF(INDEX([1]!Product_Pricing_Table[#Data],MATCH(DK$1,Products,0),2)="Cores",IF(HostBuild[Use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4" s="59">
        <f>IFERROR(IF(FIND(DL$1,$W54)&gt;0,IF(INDEX([1]!Product_Pricing_Table[#Data],MATCH(DL$1,Products,0),2)="Cores",IF(HostBuild[Use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4" s="59">
        <f>IFERROR(IF(FIND(DM$1,$W54)&gt;0,IF(INDEX([1]!Product_Pricing_Table[#Data],MATCH(DM$1,Products,0),2)="Cores",IF(HostBuild[Use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4" s="59">
        <f>IFERROR(IF(FIND(DN$1,$W54)&gt;0,IF(INDEX([1]!Product_Pricing_Table[#Data],MATCH(DN$1,Products,0),2)="Cores",IF(HostBuild[Use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4" s="59">
        <f>IFERROR(IF(FIND(DO$1,$W54)&gt;0,IF(INDEX([1]!Product_Pricing_Table[#Data],MATCH(DO$1,Products,0),2)="Cores",IF(HostBuild[Use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4" s="59">
        <f>IFERROR(IF(FIND(DP$1,$W54)&gt;0,IF(INDEX([1]!Product_Pricing_Table[#Data],MATCH(DP$1,Products,0),2)="Cores",IF(HostBuild[Use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4" s="59">
        <f>IFERROR(IF(FIND(DQ$1,$W54)&gt;0,IF(INDEX([1]!Product_Pricing_Table[#Data],MATCH(DQ$1,Products,0),2)="Cores",IF(HostBuild[Use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4" s="59">
        <f>IFERROR(IF(FIND(DR$1,$W54)&gt;0,IF(INDEX([1]!Product_Pricing_Table[#Data],MATCH(DR$1,Products,0),2)="Cores",IF(HostBuild[Use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4" s="59">
        <f>IFERROR(IF(FIND(DS$1,$W54)&gt;0,IF(INDEX([1]!Product_Pricing_Table[#Data],MATCH(DS$1,Products,0),2)="Cores",IF(HostBuild[Use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4" s="59">
        <f>IFERROR(IF(FIND(DT$1,$W54)&gt;0,IF(INDEX([1]!Product_Pricing_Table[#Data],MATCH(DT$1,Products,0),2)="Cores",IF(HostBuild[Use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4" s="59">
        <f>IFERROR(IF(FIND(DU$1,$W54)&gt;0,IF(INDEX([1]!Product_Pricing_Table[#Data],MATCH(DU$1,Products,0),2)="Cores",IF(HostBuild[Use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4" s="59">
        <f>IFERROR(IF(FIND(DV$1,$W54)&gt;0,IF(INDEX([1]!Product_Pricing_Table[#Data],MATCH(DV$1,Products,0),2)="Cores",IF(HostBuild[Use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4" s="59">
        <f>IFERROR(IF(FIND(DW$1,$W54)&gt;0,IF(INDEX([1]!Product_Pricing_Table[#Data],MATCH(DW$1,Products,0),2)="Cores",IF(HostBuild[Use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4" s="59">
        <f>IFERROR(IF(FIND(DX$1,$W54)&gt;0,IF(INDEX([1]!Product_Pricing_Table[#Data],MATCH(DX$1,Products,0),2)="Cores",IF(HostBuild[Use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4" s="59">
        <f>IFERROR(IF(FIND(DY$1,$W54)&gt;0,IF(INDEX([1]!Product_Pricing_Table[#Data],MATCH(DY$1,Products,0),2)="Cores",IF(HostBuild[Use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4" s="59">
        <f>IFERROR(IF(FIND(DZ$1,$W54)&gt;0,IF(INDEX([1]!Product_Pricing_Table[#Data],MATCH(DZ$1,Products,0),2)="Cores",IF(HostBuild[Use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4" s="59">
        <f>IFERROR(IF(FIND(EA$1,$W54)&gt;0,IF(INDEX([1]!Product_Pricing_Table[#Data],MATCH(EA$1,Products,0),2)="Cores",IF(HostBuild[Use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4" s="59">
        <f>IFERROR(IF(FIND(EB$1,$W54)&gt;0,IF(INDEX([1]!Product_Pricing_Table[#Data],MATCH(EB$1,Products,0),2)="Cores",IF(HostBuild[Use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4" s="60">
        <f>IFERROR(IF(FIND(EC$1,$W54)&gt;0,IF(INDEX([1]!Product_Pricing_Table[#Data],MATCH(EC$1,Products,0),2)="Cores",IF(HostBuild[Use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4" s="59">
        <f>IFERROR(IF(FIND(ED$1,$W54)&gt;0,IF(INDEX([1]!Product_Pricing_Table[#Data],MATCH(ED$1,Products,0),2)="Cores",IF(HostBuild[Use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4" s="59">
        <f>IFERROR(IF(FIND(EE$1,$W54)&gt;0,IF(INDEX([1]!Product_Pricing_Table[#Data],MATCH(EE$1,Products,0),2)="Cores",IF(HostBuild[Use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4" s="59">
        <f>IFERROR(IF(FIND(EF$1,$W54)&gt;0,IF(INDEX([1]!Product_Pricing_Table[#Data],MATCH(EF$1,Products,0),2)="Cores",IF(HostBuild[Use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4" s="59">
        <f>IFERROR(IF(FIND(EG$1,$W54)&gt;0,IF(INDEX([1]!Product_Pricing_Table[#Data],MATCH(EG$1,Products,0),2)="Cores",IF(HostBuild[Use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4" s="59">
        <f>IFERROR(IF(FIND(EH$1,$W54)&gt;0,IF(INDEX([1]!Product_Pricing_Table[#Data],MATCH(EH$1,Products,0),2)="Cores",IF(HostBuild[Use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4" s="59">
        <f>IFERROR(IF(FIND(EI$1,$W54)&gt;0,IF(INDEX([1]!Product_Pricing_Table[#Data],MATCH(EI$1,Products,0),2)="Cores",IF(HostBuild[Use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4" s="59">
        <f>IFERROR(IF(FIND(EJ$1,$W54)&gt;0,IF(INDEX([1]!Product_Pricing_Table[#Data],MATCH(EJ$1,Products,0),2)="Cores",IF(HostBuild[Use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4" s="60">
        <f>IFERROR(IF(FIND(EK$1,$W54)&gt;0,IF(INDEX([1]!Product_Pricing_Table[#Data],MATCH(EK$1,Products,0),2)="Cores",IF(HostBuild[Use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4" s="61"/>
      <c r="EM54" s="62"/>
      <c r="EN54" s="63"/>
      <c r="EO54"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4" s="132">
        <f>(HostBuild[Archive
Full (GB)]+HostBuild[Archive
Incr (GB)])*Storage_DC_Dist_Tape_2014</f>
        <v>0</v>
      </c>
      <c r="ER54" s="132">
        <f>IF(ISNUMBER(HostBuild[Server HW Costs
(Monthly)]),SUM(HostBuild[[#This Row],[Server HW Costs
(Monthly)]:[Tape Costs
(Monthly)]]),0)</f>
        <v>1003.9</v>
      </c>
      <c r="ES54" s="65">
        <f>HostBuild[Software Costs
'[Year 1']
(Monthly)]+HostBuild[Total Hardware Costs
(Monthly)]</f>
        <v>1003.9</v>
      </c>
      <c r="ET54" s="65">
        <f>IFERROR(IF(FIND("Safenet",HostBuild[Server Model]),Safenet_PSE_PL600_Maint,0),0)+IFERROR(IF(FIND("XI52",HostBuild[Server Model]),IBM_DIA_XI52_Maint,0),0)+HostBuild[Software Costs
'[After Year 1']
(Monthly)]+HostBuild[Total Hardware Costs
(Monthly)]</f>
        <v>1003.9</v>
      </c>
      <c r="EU54" s="66">
        <f>SUM(HostBuild[[#This Row],[Server Cost Breakdown]:[Network Cost]])</f>
        <v>1003.9</v>
      </c>
      <c r="EV54" s="67">
        <f>IF(HostBuild[Existing Server?]="Yes - Inside this BoM",0,SUMIF(HostBuild[Alias],HostBuild[Alias],HostBuild[CPU])+SUMIF(HostBuild[Alias],HostBuild[Alias],HostBuild[Existing CPUs]))</f>
        <v>2</v>
      </c>
      <c r="EW54" s="67">
        <f>IF(HostBuild[Existing Server?]="Yes - Inside this BoM",0,SUMIF(HostBuild[Alias],HostBuild[Alias],HostBuild[Cores 
(Licensed Units)])+SUMIF(HostBuild[Alias],HostBuild[Alias],HostBuild[Existing Cores]))</f>
        <v>0</v>
      </c>
      <c r="EX54" s="67">
        <f>IF(HostBuild[Existing Server?]="Yes - Inside this BoM",0,SUMIF(HostBuild[Alias],HostBuild[Alias],HostBuild[RAM 
(GB)])+SUMIF(HostBuild[Alias],HostBuild[Alias],HostBuild[Existing RAM (GB)]))</f>
        <v>256</v>
      </c>
      <c r="EY5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4" s="66">
        <f>IF(ISBLANK(HostBuild[Server Model]),0,IF(HostBuild[Server Tier]="VMware",0,VLOOKUP(HostBuild[Server Tier],[1]!ServerTierRates[#Data],2,0))*HostBuild[CPU]*IF(AND(HostBuild[Server Type]="pSeries",HostBuild[Virtual Platform Storage Type]="Cloud-SAN"),0.25,1))</f>
        <v>608</v>
      </c>
      <c r="FD54" s="66">
        <f>0</f>
        <v>0</v>
      </c>
      <c r="FE54" s="66">
        <f>IF(HostBuild[Server Type]="VMware",HostBuild[RAM 
(GB)]*IF(ISERROR(FIND("DevCloud", HostBuild[Server Model])&gt;0),vRAM_per_vCPU_2014_Monthly,vRAM_per_vCPU_2014_Daily*30),0)</f>
        <v>0</v>
      </c>
      <c r="FF5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4" s="69">
        <f>IF(HostBuild[Server Tier]="VMware",0,IF(LEFT(HostBuild[Existing Server?],3)="Yes",0,IF(OR(HostBuild[Server Type]="Sun",HostBuild[Server Type]="pSeries"),Support_Direct_Server_Sun_per_OS_2014,IF(HostBuild[Server Type]="x86",Support_Direct_Server_x86_Wintel_per_OS_2014,0))))</f>
        <v>187.1</v>
      </c>
      <c r="FI5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5" spans="1:165" hidden="1">
      <c r="A55" s="122" t="s">
        <v>53</v>
      </c>
      <c r="B55" s="36"/>
      <c r="C55" s="36"/>
      <c r="D55" s="36"/>
      <c r="E55" s="37"/>
      <c r="F55" s="37"/>
      <c r="G55" s="103"/>
      <c r="H55" s="103"/>
      <c r="I55" s="38"/>
      <c r="J55" s="37"/>
      <c r="K55" s="37"/>
      <c r="L55" s="37"/>
      <c r="M55" s="103" t="e">
        <f ca="1">IF(rngIsDate(HostBuild[CTO Acceptance]),"Y","N")</f>
        <v>#NAME?</v>
      </c>
      <c r="N55" s="123" t="s">
        <v>3</v>
      </c>
      <c r="O55" s="39"/>
      <c r="P55" s="39"/>
      <c r="Q55" s="123" t="s">
        <v>52</v>
      </c>
      <c r="R55" s="126" t="str">
        <f>IF(NOT(ISBLANK(HostBuild[Env Label])),IFERROR(VLOOKUP(HostBuild[Env Label],[1]!tEnv[#Data],3,FALSE),""),"")</f>
        <v/>
      </c>
      <c r="S55" s="104"/>
      <c r="T55" s="40"/>
      <c r="U55" s="105"/>
      <c r="V55" s="123" t="s">
        <v>82</v>
      </c>
      <c r="W55" s="123" t="s">
        <v>83</v>
      </c>
      <c r="X55" s="123" t="s">
        <v>57</v>
      </c>
      <c r="Y55" s="123" t="s">
        <v>58</v>
      </c>
      <c r="Z55" s="126" t="str">
        <f>IF(NOT(ISBLANK(HostBuild[[#This Row],[Product 
(Acronym)]])),CONCATENATE(HostBuild[[#This Row],[Type]],"-",HostBuild[[#This Row],[Product 
(Acronym)]]),"")</f>
        <v>AP-ESB</v>
      </c>
      <c r="AA55" s="106"/>
      <c r="AB55" s="106" t="s">
        <v>76</v>
      </c>
      <c r="AC55" s="41"/>
      <c r="AD55" s="42"/>
      <c r="AE55" s="42"/>
      <c r="AF55" s="43"/>
      <c r="AG55" s="124"/>
      <c r="AH55" s="107"/>
      <c r="AI55" s="124" t="s">
        <v>138</v>
      </c>
      <c r="AJ55" s="123">
        <f>IF(COUNTIF(HostBuild[Alias],HostBuild[Alias]),1/COUNTIF(HostBuild[Alias],HostBuild[Alias]),0)</f>
        <v>1</v>
      </c>
      <c r="AK55" s="124"/>
      <c r="AL55" s="124"/>
      <c r="AM55" s="44" t="s">
        <v>62</v>
      </c>
      <c r="AN55" s="45" t="str">
        <f>IF(NOT(ISBLANK(HostBuild[Server Model])),VLOOKUP(HostBuild[Server Model],[1]!ServerModelsTier[#Data],2,FALSE),"")</f>
        <v>x86 Tier 3</v>
      </c>
      <c r="AO55" s="45" t="str">
        <f>IF(NOT(ISBLANK(HostBuild[Server Model])),VLOOKUP(HostBuild[Server Model],[1]!ServerModelsTier[#Data],5,FALSE),"")</f>
        <v>x86</v>
      </c>
      <c r="AP55" s="44"/>
      <c r="AQ55" s="44" t="s">
        <v>63</v>
      </c>
      <c r="AR55" s="46">
        <v>2</v>
      </c>
      <c r="AS55" s="108"/>
      <c r="AT55" s="47"/>
      <c r="AU55" s="109" t="str">
        <f>IF(IFERROR(FIND("P-Series",HostBuild[Server Tier]),0),CEILING((HostBuild[Existing CPUs]+HostBuild[CPU])*16,8),"")</f>
        <v/>
      </c>
      <c r="AV55" s="48">
        <v>256</v>
      </c>
      <c r="AW55" s="124"/>
      <c r="AX55" s="124"/>
      <c r="AY55" s="124"/>
      <c r="AZ55" s="49"/>
      <c r="BA55" s="124"/>
      <c r="BB55" s="124"/>
      <c r="BC55" s="42"/>
      <c r="BD55" s="124"/>
      <c r="BE55" s="124"/>
      <c r="BF55" s="124"/>
      <c r="BG55" s="124"/>
      <c r="BH55" s="124"/>
      <c r="BI55" s="124"/>
      <c r="BJ55" s="124"/>
      <c r="BK55" s="133"/>
      <c r="BL55" s="127"/>
      <c r="BM55" s="129">
        <f>IF(ISNUMBER(HostBuild[Recommended SAN (GB)]),HostBuild[Recommended SAN (GB)])+IF(HostBuild[Additional SAN (GB)]&gt;0,CEILING(HostBuild[Additional SAN (GB)],LUN),-(CEILING(-HostBuild[Additional SAN (GB)],LUN)))</f>
        <v>0</v>
      </c>
      <c r="BN55" s="128"/>
      <c r="BO55" s="129">
        <f>HostBuild[SAN (GB)
NEEDED TODAY]+CEILING(HostBuild[SAN (GB)
RESERVED
DO NOT USE TO BUILD], LUN)</f>
        <v>0</v>
      </c>
      <c r="BP55" s="130"/>
      <c r="BQ55" s="131"/>
      <c r="BR55" s="125" t="s">
        <v>64</v>
      </c>
      <c r="BS55" s="110">
        <f>IF(HostBuild[Existing Server?]&lt;&gt;"Yes - Inside this BoM",IF(ISNUMBER(HostBuild[RAM 
(GB)]),IF(HostBuild[Existing RAM (GB)]+HostBuild[RAM 
(GB)]&gt;0,IF(HostBuild[Virtual Platform Storage Type]="NAS",110+HostBuild[Existing RAM (GB)]+HostBuild[RAM 
(GB)]*1.75,0),0),0),0)</f>
        <v>0</v>
      </c>
      <c r="BT55" s="111"/>
      <c r="BU55" s="112">
        <f>IF(ISNUMBER(HostBuild[Recommended NAS (GB)]),HostBuild[Recommended NAS (GB)])+HostBuild[Additional NAS (GB)]</f>
        <v>0</v>
      </c>
      <c r="BV55" s="50"/>
      <c r="BW55" s="50"/>
      <c r="BX55" s="133">
        <f>IFERROR((HostBuild[SAN (GB)
End-State
DO NOT USE TO BUILD]+HostBuild[SAN (GB) Shared])*25%,"")</f>
        <v>0</v>
      </c>
      <c r="BY55" s="113">
        <f>IFERROR(HostBuild[Archive
Full (GB)]*15%,"")</f>
        <v>0</v>
      </c>
      <c r="BZ55" s="51"/>
      <c r="CA55" s="51"/>
      <c r="CB55" s="52"/>
      <c r="CC55" s="53"/>
      <c r="CD55" s="52"/>
      <c r="CE55" s="54"/>
      <c r="CF55" s="128"/>
      <c r="CG55" s="114"/>
      <c r="CH55" s="55"/>
      <c r="CI55" s="56"/>
      <c r="CJ55" s="57" t="s">
        <v>85</v>
      </c>
      <c r="CK55" s="58"/>
      <c r="CL55" s="59">
        <f>IFERROR(IF(FIND(CL$1,$W55)&gt;0,IF(INDEX([1]!Product_Pricing_Table[#Data],MATCH(CL$1,Products,0),2)="Cores",IF(HostBuild[Use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5" s="59">
        <f>IFERROR(IF(FIND(CM$1,$W55)&gt;0,IF(INDEX([1]!Product_Pricing_Table[#Data],MATCH(CM$1,Products,0),2)="Cores",IF(HostBuild[Use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55" s="59">
        <f>IFERROR(IF(FIND(CN$1,$W55)&gt;0,IF(INDEX([1]!Product_Pricing_Table[#Data],MATCH(CN$1,Products,0),2)="Cores",IF(HostBuild[Use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5" s="59">
        <f>IFERROR(IF(FIND(CO$1,$W55)&gt;0,IF(INDEX([1]!Product_Pricing_Table[#Data],MATCH(CO$1,Products,0),2)="Cores",IF(HostBuild[Use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5" s="59">
        <f>IFERROR(IF(FIND(CP$1,$W55)&gt;0,IF(INDEX([1]!Product_Pricing_Table[#Data],MATCH(CP$1,Products,0),2)="Cores",IF(HostBuild[Use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5" s="59">
        <f>IFERROR(IF(FIND(CQ$1,$W55)&gt;0,IF(INDEX([1]!Product_Pricing_Table[#Data],MATCH(CQ$1,Products,0),2)="Cores",IF(HostBuild[Use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5" s="59">
        <f>IFERROR(IF(FIND(CR$1,$W55)&gt;0,IF(INDEX([1]!Product_Pricing_Table[#Data],MATCH(CR$1,Products,0),2)="Cores",IF(HostBuild[Use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5" s="59">
        <f>IFERROR(IF(FIND(CS$1,$W55)&gt;0,IF(INDEX([1]!Product_Pricing_Table[#Data],MATCH(CS$1,Products,0),2)="Cores",IF(HostBuild[Use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5" s="59">
        <f>IFERROR(IF(FIND(CT$1,$W55)&gt;0,IF(INDEX([1]!Product_Pricing_Table[#Data],MATCH(CT$1,Products,0),2)="Cores",IF(HostBuild[Use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5" s="59">
        <f>IFERROR(IF(FIND(CU$1,$W55)&gt;0,IF(INDEX([1]!Product_Pricing_Table[#Data],MATCH(CU$1,Products,0),2)="Cores",IF(HostBuild[Use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5" s="59">
        <f>IFERROR(IF(FIND(CV$1,$W55)&gt;0,IF(INDEX([1]!Product_Pricing_Table[#Data],MATCH(CV$1,Products,0),2)="Cores",IF(HostBuild[Use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5" s="59">
        <f>IFERROR(IF(FIND(CW$1,$W55)&gt;0,IF(INDEX([1]!Product_Pricing_Table[#Data],MATCH(CW$1,Products,0),2)="Cores",IF(HostBuild[Use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5" s="59">
        <f>IFERROR(IF(FIND(CX$1,$W55)&gt;0,IF(INDEX([1]!Product_Pricing_Table[#Data],MATCH(CX$1,Products,0),2)="Cores",IF(HostBuild[Use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5" s="59">
        <f>IFERROR(IF(FIND(CY$1,$W55)&gt;0,IF(INDEX([1]!Product_Pricing_Table[#Data],MATCH(CY$1,Products,0),2)="Cores",IF(HostBuild[Use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5" s="59">
        <f>IFERROR(IF(FIND(CZ$1,$W55)&gt;0,IF(INDEX([1]!Product_Pricing_Table[#Data],MATCH(CZ$1,Products,0),2)="Cores",IF(HostBuild[Use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5" s="59">
        <f>IFERROR(IF(FIND(DA$1,$W55)&gt;0,IF(INDEX([1]!Product_Pricing_Table[#Data],MATCH(DA$1,Products,0),2)="Cores",IF(HostBuild[Use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5" s="59">
        <f>IFERROR(IF(FIND(DB$1,$W55)&gt;0,IF(INDEX([1]!Product_Pricing_Table[#Data],MATCH(DB$1,Products,0),2)="Cores",IF(HostBuild[Use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5" s="59">
        <f>IFERROR(IF(FIND(DC$1,$W55)&gt;0,IF(INDEX([1]!Product_Pricing_Table[#Data],MATCH(DC$1,Products,0),2)="Cores",IF(HostBuild[Use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5" s="59">
        <f>IFERROR(IF(FIND(DD$1,$W55)&gt;0,IF(INDEX([1]!Product_Pricing_Table[#Data],MATCH(DD$1,Products,0),2)="Cores",IF(HostBuild[Use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5" s="59">
        <f>IFERROR(IF(FIND(DE$1,$W55)&gt;0,IF(INDEX([1]!Product_Pricing_Table[#Data],MATCH(DE$1,Products,0),2)="Cores",IF(HostBuild[Use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5" s="60">
        <f>IFERROR(IF(FIND(DF$1,$W55)&gt;0,IF(INDEX([1]!Product_Pricing_Table[#Data],MATCH(DF$1,Products,0),2)="Cores",IF(HostBuild[Use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5" s="60">
        <f>IFERROR(IF(FIND(DG$1,$W55)&gt;0,IF(INDEX([1]!Product_Pricing_Table[#Data],MATCH(DG$1,Products,0),2)="Cores",IF(HostBuild[Use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5" s="59">
        <f>IFERROR(IF(FIND(DH$1,$W55)&gt;0,IF(INDEX([1]!Product_Pricing_Table[#Data],MATCH(DH$1,Products,0),2)="Cores",IF(HostBuild[Use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5" s="60">
        <f>IFERROR(IF(FIND(DI$1,$W55)&gt;0,IF(INDEX([1]!Product_Pricing_Table[#Data],MATCH(DI$1,Products,0),2)="Cores",IF(HostBuild[Use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5" s="59">
        <f>IFERROR(IF(FIND(DJ$1,$W55)&gt;0,IF(INDEX([1]!Product_Pricing_Table[#Data],MATCH(DJ$1,Products,0),2)="Cores",IF(HostBuild[Use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5" s="59">
        <f>IFERROR(IF(FIND(DK$1,$W55)&gt;0,IF(INDEX([1]!Product_Pricing_Table[#Data],MATCH(DK$1,Products,0),2)="Cores",IF(HostBuild[Use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5" s="59">
        <f>IFERROR(IF(FIND(DL$1,$W55)&gt;0,IF(INDEX([1]!Product_Pricing_Table[#Data],MATCH(DL$1,Products,0),2)="Cores",IF(HostBuild[Use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5" s="59">
        <f>IFERROR(IF(FIND(DM$1,$W55)&gt;0,IF(INDEX([1]!Product_Pricing_Table[#Data],MATCH(DM$1,Products,0),2)="Cores",IF(HostBuild[Use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5" s="59">
        <f>IFERROR(IF(FIND(DN$1,$W55)&gt;0,IF(INDEX([1]!Product_Pricing_Table[#Data],MATCH(DN$1,Products,0),2)="Cores",IF(HostBuild[Use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5" s="59">
        <f>IFERROR(IF(FIND(DO$1,$W55)&gt;0,IF(INDEX([1]!Product_Pricing_Table[#Data],MATCH(DO$1,Products,0),2)="Cores",IF(HostBuild[Use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5" s="59">
        <f>IFERROR(IF(FIND(DP$1,$W55)&gt;0,IF(INDEX([1]!Product_Pricing_Table[#Data],MATCH(DP$1,Products,0),2)="Cores",IF(HostBuild[Use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5" s="59">
        <f>IFERROR(IF(FIND(DQ$1,$W55)&gt;0,IF(INDEX([1]!Product_Pricing_Table[#Data],MATCH(DQ$1,Products,0),2)="Cores",IF(HostBuild[Use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5" s="59">
        <f>IFERROR(IF(FIND(DR$1,$W55)&gt;0,IF(INDEX([1]!Product_Pricing_Table[#Data],MATCH(DR$1,Products,0),2)="Cores",IF(HostBuild[Use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5" s="59">
        <f>IFERROR(IF(FIND(DS$1,$W55)&gt;0,IF(INDEX([1]!Product_Pricing_Table[#Data],MATCH(DS$1,Products,0),2)="Cores",IF(HostBuild[Use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5" s="59">
        <f>IFERROR(IF(FIND(DT$1,$W55)&gt;0,IF(INDEX([1]!Product_Pricing_Table[#Data],MATCH(DT$1,Products,0),2)="Cores",IF(HostBuild[Use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5" s="59">
        <f>IFERROR(IF(FIND(DU$1,$W55)&gt;0,IF(INDEX([1]!Product_Pricing_Table[#Data],MATCH(DU$1,Products,0),2)="Cores",IF(HostBuild[Use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5" s="59">
        <f>IFERROR(IF(FIND(DV$1,$W55)&gt;0,IF(INDEX([1]!Product_Pricing_Table[#Data],MATCH(DV$1,Products,0),2)="Cores",IF(HostBuild[Use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5" s="59">
        <f>IFERROR(IF(FIND(DW$1,$W55)&gt;0,IF(INDEX([1]!Product_Pricing_Table[#Data],MATCH(DW$1,Products,0),2)="Cores",IF(HostBuild[Use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5" s="59">
        <f>IFERROR(IF(FIND(DX$1,$W55)&gt;0,IF(INDEX([1]!Product_Pricing_Table[#Data],MATCH(DX$1,Products,0),2)="Cores",IF(HostBuild[Use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5" s="59">
        <f>IFERROR(IF(FIND(DY$1,$W55)&gt;0,IF(INDEX([1]!Product_Pricing_Table[#Data],MATCH(DY$1,Products,0),2)="Cores",IF(HostBuild[Use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5" s="59">
        <f>IFERROR(IF(FIND(DZ$1,$W55)&gt;0,IF(INDEX([1]!Product_Pricing_Table[#Data],MATCH(DZ$1,Products,0),2)="Cores",IF(HostBuild[Use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5" s="59">
        <f>IFERROR(IF(FIND(EA$1,$W55)&gt;0,IF(INDEX([1]!Product_Pricing_Table[#Data],MATCH(EA$1,Products,0),2)="Cores",IF(HostBuild[Use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5" s="59">
        <f>IFERROR(IF(FIND(EB$1,$W55)&gt;0,IF(INDEX([1]!Product_Pricing_Table[#Data],MATCH(EB$1,Products,0),2)="Cores",IF(HostBuild[Use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5" s="60">
        <f>IFERROR(IF(FIND(EC$1,$W55)&gt;0,IF(INDEX([1]!Product_Pricing_Table[#Data],MATCH(EC$1,Products,0),2)="Cores",IF(HostBuild[Use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5" s="59">
        <f>IFERROR(IF(FIND(ED$1,$W55)&gt;0,IF(INDEX([1]!Product_Pricing_Table[#Data],MATCH(ED$1,Products,0),2)="Cores",IF(HostBuild[Use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5" s="59">
        <f>IFERROR(IF(FIND(EE$1,$W55)&gt;0,IF(INDEX([1]!Product_Pricing_Table[#Data],MATCH(EE$1,Products,0),2)="Cores",IF(HostBuild[Use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5" s="59">
        <f>IFERROR(IF(FIND(EF$1,$W55)&gt;0,IF(INDEX([1]!Product_Pricing_Table[#Data],MATCH(EF$1,Products,0),2)="Cores",IF(HostBuild[Use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5" s="59">
        <f>IFERROR(IF(FIND(EG$1,$W55)&gt;0,IF(INDEX([1]!Product_Pricing_Table[#Data],MATCH(EG$1,Products,0),2)="Cores",IF(HostBuild[Use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5" s="59">
        <f>IFERROR(IF(FIND(EH$1,$W55)&gt;0,IF(INDEX([1]!Product_Pricing_Table[#Data],MATCH(EH$1,Products,0),2)="Cores",IF(HostBuild[Use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5" s="59">
        <f>IFERROR(IF(FIND(EI$1,$W55)&gt;0,IF(INDEX([1]!Product_Pricing_Table[#Data],MATCH(EI$1,Products,0),2)="Cores",IF(HostBuild[Use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5" s="59">
        <f>IFERROR(IF(FIND(EJ$1,$W55)&gt;0,IF(INDEX([1]!Product_Pricing_Table[#Data],MATCH(EJ$1,Products,0),2)="Cores",IF(HostBuild[Use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5" s="60">
        <f>IFERROR(IF(FIND(EK$1,$W55)&gt;0,IF(INDEX([1]!Product_Pricing_Table[#Data],MATCH(EK$1,Products,0),2)="Cores",IF(HostBuild[Use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5" s="61"/>
      <c r="EM55" s="62"/>
      <c r="EN55" s="63"/>
      <c r="EO55"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5" s="132">
        <f>(HostBuild[Archive
Full (GB)]+HostBuild[Archive
Incr (GB)])*Storage_DC_Dist_Tape_2014</f>
        <v>0</v>
      </c>
      <c r="ER55" s="132">
        <f>IF(ISNUMBER(HostBuild[Server HW Costs
(Monthly)]),SUM(HostBuild[[#This Row],[Server HW Costs
(Monthly)]:[Tape Costs
(Monthly)]]),0)</f>
        <v>1003.9</v>
      </c>
      <c r="ES55" s="65">
        <f>HostBuild[Software Costs
'[Year 1']
(Monthly)]+HostBuild[Total Hardware Costs
(Monthly)]</f>
        <v>1003.9</v>
      </c>
      <c r="ET55" s="65">
        <f>IFERROR(IF(FIND("Safenet",HostBuild[Server Model]),Safenet_PSE_PL600_Maint,0),0)+IFERROR(IF(FIND("XI52",HostBuild[Server Model]),IBM_DIA_XI52_Maint,0),0)+HostBuild[Software Costs
'[After Year 1']
(Monthly)]+HostBuild[Total Hardware Costs
(Monthly)]</f>
        <v>1003.9</v>
      </c>
      <c r="EU55" s="66">
        <f>SUM(HostBuild[[#This Row],[Server Cost Breakdown]:[Network Cost]])</f>
        <v>1003.9</v>
      </c>
      <c r="EV55" s="67">
        <f>IF(HostBuild[Existing Server?]="Yes - Inside this BoM",0,SUMIF(HostBuild[Alias],HostBuild[Alias],HostBuild[CPU])+SUMIF(HostBuild[Alias],HostBuild[Alias],HostBuild[Existing CPUs]))</f>
        <v>2</v>
      </c>
      <c r="EW55" s="67">
        <f>IF(HostBuild[Existing Server?]="Yes - Inside this BoM",0,SUMIF(HostBuild[Alias],HostBuild[Alias],HostBuild[Cores 
(Licensed Units)])+SUMIF(HostBuild[Alias],HostBuild[Alias],HostBuild[Existing Cores]))</f>
        <v>0</v>
      </c>
      <c r="EX55" s="67">
        <f>IF(HostBuild[Existing Server?]="Yes - Inside this BoM",0,SUMIF(HostBuild[Alias],HostBuild[Alias],HostBuild[RAM 
(GB)])+SUMIF(HostBuild[Alias],HostBuild[Alias],HostBuild[Existing RAM (GB)]))</f>
        <v>256</v>
      </c>
      <c r="EY5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5" s="66">
        <f>IF(ISBLANK(HostBuild[Server Model]),0,IF(HostBuild[Server Tier]="VMware",0,VLOOKUP(HostBuild[Server Tier],[1]!ServerTierRates[#Data],2,0))*HostBuild[CPU]*IF(AND(HostBuild[Server Type]="pSeries",HostBuild[Virtual Platform Storage Type]="Cloud-SAN"),0.25,1))</f>
        <v>608</v>
      </c>
      <c r="FD55" s="66">
        <f>0</f>
        <v>0</v>
      </c>
      <c r="FE55" s="66">
        <f>IF(HostBuild[Server Type]="VMware",HostBuild[RAM 
(GB)]*IF(ISERROR(FIND("DevCloud", HostBuild[Server Model])&gt;0),vRAM_per_vCPU_2014_Monthly,vRAM_per_vCPU_2014_Daily*30),0)</f>
        <v>0</v>
      </c>
      <c r="FF5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5" s="69">
        <f>IF(HostBuild[Server Tier]="VMware",0,IF(LEFT(HostBuild[Existing Server?],3)="Yes",0,IF(OR(HostBuild[Server Type]="Sun",HostBuild[Server Type]="pSeries"),Support_Direct_Server_Sun_per_OS_2014,IF(HostBuild[Server Type]="x86",Support_Direct_Server_x86_Wintel_per_OS_2014,0))))</f>
        <v>187.1</v>
      </c>
      <c r="FI5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6" spans="1:165" hidden="1">
      <c r="A56" s="122" t="s">
        <v>53</v>
      </c>
      <c r="B56" s="36"/>
      <c r="C56" s="36"/>
      <c r="D56" s="36"/>
      <c r="E56" s="37"/>
      <c r="F56" s="37"/>
      <c r="G56" s="103"/>
      <c r="H56" s="103"/>
      <c r="I56" s="38"/>
      <c r="J56" s="37"/>
      <c r="K56" s="37"/>
      <c r="L56" s="37"/>
      <c r="M56" s="103" t="e">
        <f ca="1">IF(rngIsDate(HostBuild[CTO Acceptance]),"Y","N")</f>
        <v>#NAME?</v>
      </c>
      <c r="N56" s="123" t="s">
        <v>3</v>
      </c>
      <c r="O56" s="39"/>
      <c r="P56" s="39"/>
      <c r="Q56" s="123" t="s">
        <v>52</v>
      </c>
      <c r="R56" s="126" t="str">
        <f>IF(NOT(ISBLANK(HostBuild[Env Label])),IFERROR(VLOOKUP(HostBuild[Env Label],[1]!tEnv[#Data],3,FALSE),""),"")</f>
        <v/>
      </c>
      <c r="S56" s="104"/>
      <c r="T56" s="40"/>
      <c r="U56" s="105"/>
      <c r="V56" s="123" t="s">
        <v>82</v>
      </c>
      <c r="W56" s="123" t="s">
        <v>83</v>
      </c>
      <c r="X56" s="123" t="s">
        <v>57</v>
      </c>
      <c r="Y56" s="123" t="s">
        <v>58</v>
      </c>
      <c r="Z56" s="126" t="str">
        <f>IF(NOT(ISBLANK(HostBuild[[#This Row],[Product 
(Acronym)]])),CONCATENATE(HostBuild[[#This Row],[Type]],"-",HostBuild[[#This Row],[Product 
(Acronym)]]),"")</f>
        <v>AP-ESB</v>
      </c>
      <c r="AA56" s="106"/>
      <c r="AB56" s="106" t="s">
        <v>76</v>
      </c>
      <c r="AC56" s="41"/>
      <c r="AD56" s="42"/>
      <c r="AE56" s="42"/>
      <c r="AF56" s="43"/>
      <c r="AG56" s="124"/>
      <c r="AH56" s="107"/>
      <c r="AI56" s="124" t="s">
        <v>139</v>
      </c>
      <c r="AJ56" s="123">
        <f>IF(COUNTIF(HostBuild[Alias],HostBuild[Alias]),1/COUNTIF(HostBuild[Alias],HostBuild[Alias]),0)</f>
        <v>1</v>
      </c>
      <c r="AK56" s="124"/>
      <c r="AL56" s="124"/>
      <c r="AM56" s="44" t="s">
        <v>62</v>
      </c>
      <c r="AN56" s="45" t="str">
        <f>IF(NOT(ISBLANK(HostBuild[Server Model])),VLOOKUP(HostBuild[Server Model],[1]!ServerModelsTier[#Data],2,FALSE),"")</f>
        <v>x86 Tier 3</v>
      </c>
      <c r="AO56" s="45" t="str">
        <f>IF(NOT(ISBLANK(HostBuild[Server Model])),VLOOKUP(HostBuild[Server Model],[1]!ServerModelsTier[#Data],5,FALSE),"")</f>
        <v>x86</v>
      </c>
      <c r="AP56" s="44"/>
      <c r="AQ56" s="44" t="s">
        <v>63</v>
      </c>
      <c r="AR56" s="46">
        <v>2</v>
      </c>
      <c r="AS56" s="108"/>
      <c r="AT56" s="47"/>
      <c r="AU56" s="109" t="str">
        <f>IF(IFERROR(FIND("P-Series",HostBuild[Server Tier]),0),CEILING((HostBuild[Existing CPUs]+HostBuild[CPU])*16,8),"")</f>
        <v/>
      </c>
      <c r="AV56" s="48">
        <v>256</v>
      </c>
      <c r="AW56" s="124"/>
      <c r="AX56" s="124"/>
      <c r="AY56" s="124"/>
      <c r="AZ56" s="49"/>
      <c r="BA56" s="124"/>
      <c r="BB56" s="124"/>
      <c r="BC56" s="42"/>
      <c r="BD56" s="124"/>
      <c r="BE56" s="124"/>
      <c r="BF56" s="124"/>
      <c r="BG56" s="124"/>
      <c r="BH56" s="124"/>
      <c r="BI56" s="124"/>
      <c r="BJ56" s="124"/>
      <c r="BK56" s="133"/>
      <c r="BL56" s="127"/>
      <c r="BM56" s="129">
        <f>IF(ISNUMBER(HostBuild[Recommended SAN (GB)]),HostBuild[Recommended SAN (GB)])+IF(HostBuild[Additional SAN (GB)]&gt;0,CEILING(HostBuild[Additional SAN (GB)],LUN),-(CEILING(-HostBuild[Additional SAN (GB)],LUN)))</f>
        <v>0</v>
      </c>
      <c r="BN56" s="128"/>
      <c r="BO56" s="129">
        <f>HostBuild[SAN (GB)
NEEDED TODAY]+CEILING(HostBuild[SAN (GB)
RESERVED
DO NOT USE TO BUILD], LUN)</f>
        <v>0</v>
      </c>
      <c r="BP56" s="130"/>
      <c r="BQ56" s="131"/>
      <c r="BR56" s="125" t="s">
        <v>64</v>
      </c>
      <c r="BS56" s="110">
        <f>IF(HostBuild[Existing Server?]&lt;&gt;"Yes - Inside this BoM",IF(ISNUMBER(HostBuild[RAM 
(GB)]),IF(HostBuild[Existing RAM (GB)]+HostBuild[RAM 
(GB)]&gt;0,IF(HostBuild[Virtual Platform Storage Type]="NAS",110+HostBuild[Existing RAM (GB)]+HostBuild[RAM 
(GB)]*1.75,0),0),0),0)</f>
        <v>0</v>
      </c>
      <c r="BT56" s="111"/>
      <c r="BU56" s="112">
        <f>IF(ISNUMBER(HostBuild[Recommended NAS (GB)]),HostBuild[Recommended NAS (GB)])+HostBuild[Additional NAS (GB)]</f>
        <v>0</v>
      </c>
      <c r="BV56" s="50"/>
      <c r="BW56" s="50"/>
      <c r="BX56" s="133">
        <f>IFERROR((HostBuild[SAN (GB)
End-State
DO NOT USE TO BUILD]+HostBuild[SAN (GB) Shared])*25%,"")</f>
        <v>0</v>
      </c>
      <c r="BY56" s="113">
        <f>IFERROR(HostBuild[Archive
Full (GB)]*15%,"")</f>
        <v>0</v>
      </c>
      <c r="BZ56" s="51"/>
      <c r="CA56" s="51"/>
      <c r="CB56" s="52"/>
      <c r="CC56" s="53"/>
      <c r="CD56" s="52"/>
      <c r="CE56" s="54"/>
      <c r="CF56" s="128"/>
      <c r="CG56" s="114"/>
      <c r="CH56" s="55"/>
      <c r="CI56" s="56"/>
      <c r="CJ56" s="57" t="s">
        <v>85</v>
      </c>
      <c r="CK56" s="58"/>
      <c r="CL56" s="59">
        <f>IFERROR(IF(FIND(CL$1,$W56)&gt;0,IF(INDEX([1]!Product_Pricing_Table[#Data],MATCH(CL$1,Products,0),2)="Cores",IF(HostBuild[Use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6" s="59">
        <f>IFERROR(IF(FIND(CM$1,$W56)&gt;0,IF(INDEX([1]!Product_Pricing_Table[#Data],MATCH(CM$1,Products,0),2)="Cores",IF(HostBuild[Use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56" s="59">
        <f>IFERROR(IF(FIND(CN$1,$W56)&gt;0,IF(INDEX([1]!Product_Pricing_Table[#Data],MATCH(CN$1,Products,0),2)="Cores",IF(HostBuild[Use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6" s="59">
        <f>IFERROR(IF(FIND(CO$1,$W56)&gt;0,IF(INDEX([1]!Product_Pricing_Table[#Data],MATCH(CO$1,Products,0),2)="Cores",IF(HostBuild[Use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6" s="59">
        <f>IFERROR(IF(FIND(CP$1,$W56)&gt;0,IF(INDEX([1]!Product_Pricing_Table[#Data],MATCH(CP$1,Products,0),2)="Cores",IF(HostBuild[Use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6" s="59">
        <f>IFERROR(IF(FIND(CQ$1,$W56)&gt;0,IF(INDEX([1]!Product_Pricing_Table[#Data],MATCH(CQ$1,Products,0),2)="Cores",IF(HostBuild[Use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6" s="59">
        <f>IFERROR(IF(FIND(CR$1,$W56)&gt;0,IF(INDEX([1]!Product_Pricing_Table[#Data],MATCH(CR$1,Products,0),2)="Cores",IF(HostBuild[Use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6" s="59">
        <f>IFERROR(IF(FIND(CS$1,$W56)&gt;0,IF(INDEX([1]!Product_Pricing_Table[#Data],MATCH(CS$1,Products,0),2)="Cores",IF(HostBuild[Use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6" s="59">
        <f>IFERROR(IF(FIND(CT$1,$W56)&gt;0,IF(INDEX([1]!Product_Pricing_Table[#Data],MATCH(CT$1,Products,0),2)="Cores",IF(HostBuild[Use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6" s="59">
        <f>IFERROR(IF(FIND(CU$1,$W56)&gt;0,IF(INDEX([1]!Product_Pricing_Table[#Data],MATCH(CU$1,Products,0),2)="Cores",IF(HostBuild[Use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6" s="59">
        <f>IFERROR(IF(FIND(CV$1,$W56)&gt;0,IF(INDEX([1]!Product_Pricing_Table[#Data],MATCH(CV$1,Products,0),2)="Cores",IF(HostBuild[Use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6" s="59">
        <f>IFERROR(IF(FIND(CW$1,$W56)&gt;0,IF(INDEX([1]!Product_Pricing_Table[#Data],MATCH(CW$1,Products,0),2)="Cores",IF(HostBuild[Use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6" s="59">
        <f>IFERROR(IF(FIND(CX$1,$W56)&gt;0,IF(INDEX([1]!Product_Pricing_Table[#Data],MATCH(CX$1,Products,0),2)="Cores",IF(HostBuild[Use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6" s="59">
        <f>IFERROR(IF(FIND(CY$1,$W56)&gt;0,IF(INDEX([1]!Product_Pricing_Table[#Data],MATCH(CY$1,Products,0),2)="Cores",IF(HostBuild[Use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6" s="59">
        <f>IFERROR(IF(FIND(CZ$1,$W56)&gt;0,IF(INDEX([1]!Product_Pricing_Table[#Data],MATCH(CZ$1,Products,0),2)="Cores",IF(HostBuild[Use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6" s="59">
        <f>IFERROR(IF(FIND(DA$1,$W56)&gt;0,IF(INDEX([1]!Product_Pricing_Table[#Data],MATCH(DA$1,Products,0),2)="Cores",IF(HostBuild[Use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6" s="59">
        <f>IFERROR(IF(FIND(DB$1,$W56)&gt;0,IF(INDEX([1]!Product_Pricing_Table[#Data],MATCH(DB$1,Products,0),2)="Cores",IF(HostBuild[Use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6" s="59">
        <f>IFERROR(IF(FIND(DC$1,$W56)&gt;0,IF(INDEX([1]!Product_Pricing_Table[#Data],MATCH(DC$1,Products,0),2)="Cores",IF(HostBuild[Use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6" s="59">
        <f>IFERROR(IF(FIND(DD$1,$W56)&gt;0,IF(INDEX([1]!Product_Pricing_Table[#Data],MATCH(DD$1,Products,0),2)="Cores",IF(HostBuild[Use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6" s="59">
        <f>IFERROR(IF(FIND(DE$1,$W56)&gt;0,IF(INDEX([1]!Product_Pricing_Table[#Data],MATCH(DE$1,Products,0),2)="Cores",IF(HostBuild[Use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6" s="60">
        <f>IFERROR(IF(FIND(DF$1,$W56)&gt;0,IF(INDEX([1]!Product_Pricing_Table[#Data],MATCH(DF$1,Products,0),2)="Cores",IF(HostBuild[Use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6" s="60">
        <f>IFERROR(IF(FIND(DG$1,$W56)&gt;0,IF(INDEX([1]!Product_Pricing_Table[#Data],MATCH(DG$1,Products,0),2)="Cores",IF(HostBuild[Use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6" s="59">
        <f>IFERROR(IF(FIND(DH$1,$W56)&gt;0,IF(INDEX([1]!Product_Pricing_Table[#Data],MATCH(DH$1,Products,0),2)="Cores",IF(HostBuild[Use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6" s="60">
        <f>IFERROR(IF(FIND(DI$1,$W56)&gt;0,IF(INDEX([1]!Product_Pricing_Table[#Data],MATCH(DI$1,Products,0),2)="Cores",IF(HostBuild[Use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6" s="59">
        <f>IFERROR(IF(FIND(DJ$1,$W56)&gt;0,IF(INDEX([1]!Product_Pricing_Table[#Data],MATCH(DJ$1,Products,0),2)="Cores",IF(HostBuild[Use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6" s="59">
        <f>IFERROR(IF(FIND(DK$1,$W56)&gt;0,IF(INDEX([1]!Product_Pricing_Table[#Data],MATCH(DK$1,Products,0),2)="Cores",IF(HostBuild[Use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6" s="59">
        <f>IFERROR(IF(FIND(DL$1,$W56)&gt;0,IF(INDEX([1]!Product_Pricing_Table[#Data],MATCH(DL$1,Products,0),2)="Cores",IF(HostBuild[Use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6" s="59">
        <f>IFERROR(IF(FIND(DM$1,$W56)&gt;0,IF(INDEX([1]!Product_Pricing_Table[#Data],MATCH(DM$1,Products,0),2)="Cores",IF(HostBuild[Use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6" s="59">
        <f>IFERROR(IF(FIND(DN$1,$W56)&gt;0,IF(INDEX([1]!Product_Pricing_Table[#Data],MATCH(DN$1,Products,0),2)="Cores",IF(HostBuild[Use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6" s="59">
        <f>IFERROR(IF(FIND(DO$1,$W56)&gt;0,IF(INDEX([1]!Product_Pricing_Table[#Data],MATCH(DO$1,Products,0),2)="Cores",IF(HostBuild[Use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6" s="59">
        <f>IFERROR(IF(FIND(DP$1,$W56)&gt;0,IF(INDEX([1]!Product_Pricing_Table[#Data],MATCH(DP$1,Products,0),2)="Cores",IF(HostBuild[Use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6" s="59">
        <f>IFERROR(IF(FIND(DQ$1,$W56)&gt;0,IF(INDEX([1]!Product_Pricing_Table[#Data],MATCH(DQ$1,Products,0),2)="Cores",IF(HostBuild[Use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6" s="59">
        <f>IFERROR(IF(FIND(DR$1,$W56)&gt;0,IF(INDEX([1]!Product_Pricing_Table[#Data],MATCH(DR$1,Products,0),2)="Cores",IF(HostBuild[Use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6" s="59">
        <f>IFERROR(IF(FIND(DS$1,$W56)&gt;0,IF(INDEX([1]!Product_Pricing_Table[#Data],MATCH(DS$1,Products,0),2)="Cores",IF(HostBuild[Use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6" s="59">
        <f>IFERROR(IF(FIND(DT$1,$W56)&gt;0,IF(INDEX([1]!Product_Pricing_Table[#Data],MATCH(DT$1,Products,0),2)="Cores",IF(HostBuild[Use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6" s="59">
        <f>IFERROR(IF(FIND(DU$1,$W56)&gt;0,IF(INDEX([1]!Product_Pricing_Table[#Data],MATCH(DU$1,Products,0),2)="Cores",IF(HostBuild[Use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6" s="59">
        <f>IFERROR(IF(FIND(DV$1,$W56)&gt;0,IF(INDEX([1]!Product_Pricing_Table[#Data],MATCH(DV$1,Products,0),2)="Cores",IF(HostBuild[Use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6" s="59">
        <f>IFERROR(IF(FIND(DW$1,$W56)&gt;0,IF(INDEX([1]!Product_Pricing_Table[#Data],MATCH(DW$1,Products,0),2)="Cores",IF(HostBuild[Use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6" s="59">
        <f>IFERROR(IF(FIND(DX$1,$W56)&gt;0,IF(INDEX([1]!Product_Pricing_Table[#Data],MATCH(DX$1,Products,0),2)="Cores",IF(HostBuild[Use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6" s="59">
        <f>IFERROR(IF(FIND(DY$1,$W56)&gt;0,IF(INDEX([1]!Product_Pricing_Table[#Data],MATCH(DY$1,Products,0),2)="Cores",IF(HostBuild[Use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6" s="59">
        <f>IFERROR(IF(FIND(DZ$1,$W56)&gt;0,IF(INDEX([1]!Product_Pricing_Table[#Data],MATCH(DZ$1,Products,0),2)="Cores",IF(HostBuild[Use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6" s="59">
        <f>IFERROR(IF(FIND(EA$1,$W56)&gt;0,IF(INDEX([1]!Product_Pricing_Table[#Data],MATCH(EA$1,Products,0),2)="Cores",IF(HostBuild[Use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6" s="59">
        <f>IFERROR(IF(FIND(EB$1,$W56)&gt;0,IF(INDEX([1]!Product_Pricing_Table[#Data],MATCH(EB$1,Products,0),2)="Cores",IF(HostBuild[Use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6" s="60">
        <f>IFERROR(IF(FIND(EC$1,$W56)&gt;0,IF(INDEX([1]!Product_Pricing_Table[#Data],MATCH(EC$1,Products,0),2)="Cores",IF(HostBuild[Use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6" s="59">
        <f>IFERROR(IF(FIND(ED$1,$W56)&gt;0,IF(INDEX([1]!Product_Pricing_Table[#Data],MATCH(ED$1,Products,0),2)="Cores",IF(HostBuild[Use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6" s="59">
        <f>IFERROR(IF(FIND(EE$1,$W56)&gt;0,IF(INDEX([1]!Product_Pricing_Table[#Data],MATCH(EE$1,Products,0),2)="Cores",IF(HostBuild[Use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6" s="59">
        <f>IFERROR(IF(FIND(EF$1,$W56)&gt;0,IF(INDEX([1]!Product_Pricing_Table[#Data],MATCH(EF$1,Products,0),2)="Cores",IF(HostBuild[Use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6" s="59">
        <f>IFERROR(IF(FIND(EG$1,$W56)&gt;0,IF(INDEX([1]!Product_Pricing_Table[#Data],MATCH(EG$1,Products,0),2)="Cores",IF(HostBuild[Use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6" s="59">
        <f>IFERROR(IF(FIND(EH$1,$W56)&gt;0,IF(INDEX([1]!Product_Pricing_Table[#Data],MATCH(EH$1,Products,0),2)="Cores",IF(HostBuild[Use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6" s="59">
        <f>IFERROR(IF(FIND(EI$1,$W56)&gt;0,IF(INDEX([1]!Product_Pricing_Table[#Data],MATCH(EI$1,Products,0),2)="Cores",IF(HostBuild[Use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6" s="59">
        <f>IFERROR(IF(FIND(EJ$1,$W56)&gt;0,IF(INDEX([1]!Product_Pricing_Table[#Data],MATCH(EJ$1,Products,0),2)="Cores",IF(HostBuild[Use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6" s="60">
        <f>IFERROR(IF(FIND(EK$1,$W56)&gt;0,IF(INDEX([1]!Product_Pricing_Table[#Data],MATCH(EK$1,Products,0),2)="Cores",IF(HostBuild[Use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6" s="61"/>
      <c r="EM56" s="62"/>
      <c r="EN56" s="63"/>
      <c r="EO56"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6" s="132">
        <f>(HostBuild[Archive
Full (GB)]+HostBuild[Archive
Incr (GB)])*Storage_DC_Dist_Tape_2014</f>
        <v>0</v>
      </c>
      <c r="ER56" s="132">
        <f>IF(ISNUMBER(HostBuild[Server HW Costs
(Monthly)]),SUM(HostBuild[[#This Row],[Server HW Costs
(Monthly)]:[Tape Costs
(Monthly)]]),0)</f>
        <v>1003.9</v>
      </c>
      <c r="ES56" s="65">
        <f>HostBuild[Software Costs
'[Year 1']
(Monthly)]+HostBuild[Total Hardware Costs
(Monthly)]</f>
        <v>1003.9</v>
      </c>
      <c r="ET56" s="65">
        <f>IFERROR(IF(FIND("Safenet",HostBuild[Server Model]),Safenet_PSE_PL600_Maint,0),0)+IFERROR(IF(FIND("XI52",HostBuild[Server Model]),IBM_DIA_XI52_Maint,0),0)+HostBuild[Software Costs
'[After Year 1']
(Monthly)]+HostBuild[Total Hardware Costs
(Monthly)]</f>
        <v>1003.9</v>
      </c>
      <c r="EU56" s="66">
        <f>SUM(HostBuild[[#This Row],[Server Cost Breakdown]:[Network Cost]])</f>
        <v>1003.9</v>
      </c>
      <c r="EV56" s="67">
        <f>IF(HostBuild[Existing Server?]="Yes - Inside this BoM",0,SUMIF(HostBuild[Alias],HostBuild[Alias],HostBuild[CPU])+SUMIF(HostBuild[Alias],HostBuild[Alias],HostBuild[Existing CPUs]))</f>
        <v>2</v>
      </c>
      <c r="EW56" s="67">
        <f>IF(HostBuild[Existing Server?]="Yes - Inside this BoM",0,SUMIF(HostBuild[Alias],HostBuild[Alias],HostBuild[Cores 
(Licensed Units)])+SUMIF(HostBuild[Alias],HostBuild[Alias],HostBuild[Existing Cores]))</f>
        <v>0</v>
      </c>
      <c r="EX56" s="67">
        <f>IF(HostBuild[Existing Server?]="Yes - Inside this BoM",0,SUMIF(HostBuild[Alias],HostBuild[Alias],HostBuild[RAM 
(GB)])+SUMIF(HostBuild[Alias],HostBuild[Alias],HostBuild[Existing RAM (GB)]))</f>
        <v>256</v>
      </c>
      <c r="EY5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6" s="66">
        <f>IF(ISBLANK(HostBuild[Server Model]),0,IF(HostBuild[Server Tier]="VMware",0,VLOOKUP(HostBuild[Server Tier],[1]!ServerTierRates[#Data],2,0))*HostBuild[CPU]*IF(AND(HostBuild[Server Type]="pSeries",HostBuild[Virtual Platform Storage Type]="Cloud-SAN"),0.25,1))</f>
        <v>608</v>
      </c>
      <c r="FD56" s="66">
        <f>0</f>
        <v>0</v>
      </c>
      <c r="FE56" s="66">
        <f>IF(HostBuild[Server Type]="VMware",HostBuild[RAM 
(GB)]*IF(ISERROR(FIND("DevCloud", HostBuild[Server Model])&gt;0),vRAM_per_vCPU_2014_Monthly,vRAM_per_vCPU_2014_Daily*30),0)</f>
        <v>0</v>
      </c>
      <c r="FF5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6" s="69">
        <f>IF(HostBuild[Server Tier]="VMware",0,IF(LEFT(HostBuild[Existing Server?],3)="Yes",0,IF(OR(HostBuild[Server Type]="Sun",HostBuild[Server Type]="pSeries"),Support_Direct_Server_Sun_per_OS_2014,IF(HostBuild[Server Type]="x86",Support_Direct_Server_x86_Wintel_per_OS_2014,0))))</f>
        <v>187.1</v>
      </c>
      <c r="FI5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7" spans="1:165" hidden="1">
      <c r="A57" s="122" t="s">
        <v>53</v>
      </c>
      <c r="B57" s="36"/>
      <c r="C57" s="36"/>
      <c r="D57" s="36"/>
      <c r="E57" s="37"/>
      <c r="F57" s="37"/>
      <c r="G57" s="103"/>
      <c r="H57" s="103"/>
      <c r="I57" s="38"/>
      <c r="J57" s="37"/>
      <c r="K57" s="37"/>
      <c r="L57" s="37"/>
      <c r="M57" s="103" t="e">
        <f ca="1">IF(rngIsDate(HostBuild[CTO Acceptance]),"Y","N")</f>
        <v>#NAME?</v>
      </c>
      <c r="N57" s="123" t="s">
        <v>3</v>
      </c>
      <c r="O57" s="39"/>
      <c r="P57" s="39"/>
      <c r="Q57" s="123" t="s">
        <v>52</v>
      </c>
      <c r="R57" s="126" t="str">
        <f>IF(NOT(ISBLANK(HostBuild[Env Label])),IFERROR(VLOOKUP(HostBuild[Env Label],[1]!tEnv[#Data],3,FALSE),""),"")</f>
        <v/>
      </c>
      <c r="S57" s="104"/>
      <c r="T57" s="40"/>
      <c r="U57" s="105"/>
      <c r="V57" s="123" t="s">
        <v>82</v>
      </c>
      <c r="W57" s="123" t="s">
        <v>83</v>
      </c>
      <c r="X57" s="123" t="s">
        <v>57</v>
      </c>
      <c r="Y57" s="123" t="s">
        <v>58</v>
      </c>
      <c r="Z57" s="126" t="str">
        <f>IF(NOT(ISBLANK(HostBuild[[#This Row],[Product 
(Acronym)]])),CONCATENATE(HostBuild[[#This Row],[Type]],"-",HostBuild[[#This Row],[Product 
(Acronym)]]),"")</f>
        <v>AP-ESB</v>
      </c>
      <c r="AA57" s="106"/>
      <c r="AB57" s="106" t="s">
        <v>76</v>
      </c>
      <c r="AC57" s="41"/>
      <c r="AD57" s="42"/>
      <c r="AE57" s="42"/>
      <c r="AF57" s="43"/>
      <c r="AG57" s="124"/>
      <c r="AH57" s="107"/>
      <c r="AI57" s="124" t="s">
        <v>140</v>
      </c>
      <c r="AJ57" s="123">
        <f>IF(COUNTIF(HostBuild[Alias],HostBuild[Alias]),1/COUNTIF(HostBuild[Alias],HostBuild[Alias]),0)</f>
        <v>1</v>
      </c>
      <c r="AK57" s="124"/>
      <c r="AL57" s="124"/>
      <c r="AM57" s="44" t="s">
        <v>62</v>
      </c>
      <c r="AN57" s="45" t="str">
        <f>IF(NOT(ISBLANK(HostBuild[Server Model])),VLOOKUP(HostBuild[Server Model],[1]!ServerModelsTier[#Data],2,FALSE),"")</f>
        <v>x86 Tier 3</v>
      </c>
      <c r="AO57" s="45" t="str">
        <f>IF(NOT(ISBLANK(HostBuild[Server Model])),VLOOKUP(HostBuild[Server Model],[1]!ServerModelsTier[#Data],5,FALSE),"")</f>
        <v>x86</v>
      </c>
      <c r="AP57" s="44"/>
      <c r="AQ57" s="44" t="s">
        <v>63</v>
      </c>
      <c r="AR57" s="46">
        <v>2</v>
      </c>
      <c r="AS57" s="108"/>
      <c r="AT57" s="47"/>
      <c r="AU57" s="109" t="str">
        <f>IF(IFERROR(FIND("P-Series",HostBuild[Server Tier]),0),CEILING((HostBuild[Existing CPUs]+HostBuild[CPU])*16,8),"")</f>
        <v/>
      </c>
      <c r="AV57" s="48">
        <v>256</v>
      </c>
      <c r="AW57" s="124"/>
      <c r="AX57" s="124"/>
      <c r="AY57" s="124"/>
      <c r="AZ57" s="49"/>
      <c r="BA57" s="124"/>
      <c r="BB57" s="124"/>
      <c r="BC57" s="42"/>
      <c r="BD57" s="124"/>
      <c r="BE57" s="124"/>
      <c r="BF57" s="124"/>
      <c r="BG57" s="124"/>
      <c r="BH57" s="124"/>
      <c r="BI57" s="124"/>
      <c r="BJ57" s="124"/>
      <c r="BK57" s="133"/>
      <c r="BL57" s="127"/>
      <c r="BM57" s="129">
        <f>IF(ISNUMBER(HostBuild[Recommended SAN (GB)]),HostBuild[Recommended SAN (GB)])+IF(HostBuild[Additional SAN (GB)]&gt;0,CEILING(HostBuild[Additional SAN (GB)],LUN),-(CEILING(-HostBuild[Additional SAN (GB)],LUN)))</f>
        <v>0</v>
      </c>
      <c r="BN57" s="128"/>
      <c r="BO57" s="129">
        <f>HostBuild[SAN (GB)
NEEDED TODAY]+CEILING(HostBuild[SAN (GB)
RESERVED
DO NOT USE TO BUILD], LUN)</f>
        <v>0</v>
      </c>
      <c r="BP57" s="130"/>
      <c r="BQ57" s="131"/>
      <c r="BR57" s="125" t="s">
        <v>64</v>
      </c>
      <c r="BS57" s="110">
        <f>IF(HostBuild[Existing Server?]&lt;&gt;"Yes - Inside this BoM",IF(ISNUMBER(HostBuild[RAM 
(GB)]),IF(HostBuild[Existing RAM (GB)]+HostBuild[RAM 
(GB)]&gt;0,IF(HostBuild[Virtual Platform Storage Type]="NAS",110+HostBuild[Existing RAM (GB)]+HostBuild[RAM 
(GB)]*1.75,0),0),0),0)</f>
        <v>0</v>
      </c>
      <c r="BT57" s="111"/>
      <c r="BU57" s="112">
        <f>IF(ISNUMBER(HostBuild[Recommended NAS (GB)]),HostBuild[Recommended NAS (GB)])+HostBuild[Additional NAS (GB)]</f>
        <v>0</v>
      </c>
      <c r="BV57" s="50"/>
      <c r="BW57" s="50"/>
      <c r="BX57" s="133">
        <f>IFERROR((HostBuild[SAN (GB)
End-State
DO NOT USE TO BUILD]+HostBuild[SAN (GB) Shared])*25%,"")</f>
        <v>0</v>
      </c>
      <c r="BY57" s="113">
        <f>IFERROR(HostBuild[Archive
Full (GB)]*15%,"")</f>
        <v>0</v>
      </c>
      <c r="BZ57" s="51"/>
      <c r="CA57" s="51"/>
      <c r="CB57" s="52"/>
      <c r="CC57" s="53"/>
      <c r="CD57" s="52"/>
      <c r="CE57" s="54"/>
      <c r="CF57" s="128"/>
      <c r="CG57" s="114"/>
      <c r="CH57" s="55"/>
      <c r="CI57" s="56"/>
      <c r="CJ57" s="57" t="s">
        <v>85</v>
      </c>
      <c r="CK57" s="58"/>
      <c r="CL57" s="59">
        <f>IFERROR(IF(FIND(CL$1,$W57)&gt;0,IF(INDEX([1]!Product_Pricing_Table[#Data],MATCH(CL$1,Products,0),2)="Cores",IF(HostBuild[Use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7" s="59">
        <f>IFERROR(IF(FIND(CM$1,$W57)&gt;0,IF(INDEX([1]!Product_Pricing_Table[#Data],MATCH(CM$1,Products,0),2)="Cores",IF(HostBuild[Use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57" s="59">
        <f>IFERROR(IF(FIND(CN$1,$W57)&gt;0,IF(INDEX([1]!Product_Pricing_Table[#Data],MATCH(CN$1,Products,0),2)="Cores",IF(HostBuild[Use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7" s="59">
        <f>IFERROR(IF(FIND(CO$1,$W57)&gt;0,IF(INDEX([1]!Product_Pricing_Table[#Data],MATCH(CO$1,Products,0),2)="Cores",IF(HostBuild[Use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7" s="59">
        <f>IFERROR(IF(FIND(CP$1,$W57)&gt;0,IF(INDEX([1]!Product_Pricing_Table[#Data],MATCH(CP$1,Products,0),2)="Cores",IF(HostBuild[Use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7" s="59">
        <f>IFERROR(IF(FIND(CQ$1,$W57)&gt;0,IF(INDEX([1]!Product_Pricing_Table[#Data],MATCH(CQ$1,Products,0),2)="Cores",IF(HostBuild[Use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7" s="59">
        <f>IFERROR(IF(FIND(CR$1,$W57)&gt;0,IF(INDEX([1]!Product_Pricing_Table[#Data],MATCH(CR$1,Products,0),2)="Cores",IF(HostBuild[Use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7" s="59">
        <f>IFERROR(IF(FIND(CS$1,$W57)&gt;0,IF(INDEX([1]!Product_Pricing_Table[#Data],MATCH(CS$1,Products,0),2)="Cores",IF(HostBuild[Use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7" s="59">
        <f>IFERROR(IF(FIND(CT$1,$W57)&gt;0,IF(INDEX([1]!Product_Pricing_Table[#Data],MATCH(CT$1,Products,0),2)="Cores",IF(HostBuild[Use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7" s="59">
        <f>IFERROR(IF(FIND(CU$1,$W57)&gt;0,IF(INDEX([1]!Product_Pricing_Table[#Data],MATCH(CU$1,Products,0),2)="Cores",IF(HostBuild[Use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7" s="59">
        <f>IFERROR(IF(FIND(CV$1,$W57)&gt;0,IF(INDEX([1]!Product_Pricing_Table[#Data],MATCH(CV$1,Products,0),2)="Cores",IF(HostBuild[Use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7" s="59">
        <f>IFERROR(IF(FIND(CW$1,$W57)&gt;0,IF(INDEX([1]!Product_Pricing_Table[#Data],MATCH(CW$1,Products,0),2)="Cores",IF(HostBuild[Use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7" s="59">
        <f>IFERROR(IF(FIND(CX$1,$W57)&gt;0,IF(INDEX([1]!Product_Pricing_Table[#Data],MATCH(CX$1,Products,0),2)="Cores",IF(HostBuild[Use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7" s="59">
        <f>IFERROR(IF(FIND(CY$1,$W57)&gt;0,IF(INDEX([1]!Product_Pricing_Table[#Data],MATCH(CY$1,Products,0),2)="Cores",IF(HostBuild[Use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7" s="59">
        <f>IFERROR(IF(FIND(CZ$1,$W57)&gt;0,IF(INDEX([1]!Product_Pricing_Table[#Data],MATCH(CZ$1,Products,0),2)="Cores",IF(HostBuild[Use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7" s="59">
        <f>IFERROR(IF(FIND(DA$1,$W57)&gt;0,IF(INDEX([1]!Product_Pricing_Table[#Data],MATCH(DA$1,Products,0),2)="Cores",IF(HostBuild[Use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7" s="59">
        <f>IFERROR(IF(FIND(DB$1,$W57)&gt;0,IF(INDEX([1]!Product_Pricing_Table[#Data],MATCH(DB$1,Products,0),2)="Cores",IF(HostBuild[Use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7" s="59">
        <f>IFERROR(IF(FIND(DC$1,$W57)&gt;0,IF(INDEX([1]!Product_Pricing_Table[#Data],MATCH(DC$1,Products,0),2)="Cores",IF(HostBuild[Use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7" s="59">
        <f>IFERROR(IF(FIND(DD$1,$W57)&gt;0,IF(INDEX([1]!Product_Pricing_Table[#Data],MATCH(DD$1,Products,0),2)="Cores",IF(HostBuild[Use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7" s="59">
        <f>IFERROR(IF(FIND(DE$1,$W57)&gt;0,IF(INDEX([1]!Product_Pricing_Table[#Data],MATCH(DE$1,Products,0),2)="Cores",IF(HostBuild[Use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7" s="60">
        <f>IFERROR(IF(FIND(DF$1,$W57)&gt;0,IF(INDEX([1]!Product_Pricing_Table[#Data],MATCH(DF$1,Products,0),2)="Cores",IF(HostBuild[Use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7" s="60">
        <f>IFERROR(IF(FIND(DG$1,$W57)&gt;0,IF(INDEX([1]!Product_Pricing_Table[#Data],MATCH(DG$1,Products,0),2)="Cores",IF(HostBuild[Use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7" s="59">
        <f>IFERROR(IF(FIND(DH$1,$W57)&gt;0,IF(INDEX([1]!Product_Pricing_Table[#Data],MATCH(DH$1,Products,0),2)="Cores",IF(HostBuild[Use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7" s="60">
        <f>IFERROR(IF(FIND(DI$1,$W57)&gt;0,IF(INDEX([1]!Product_Pricing_Table[#Data],MATCH(DI$1,Products,0),2)="Cores",IF(HostBuild[Use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7" s="59">
        <f>IFERROR(IF(FIND(DJ$1,$W57)&gt;0,IF(INDEX([1]!Product_Pricing_Table[#Data],MATCH(DJ$1,Products,0),2)="Cores",IF(HostBuild[Use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7" s="59">
        <f>IFERROR(IF(FIND(DK$1,$W57)&gt;0,IF(INDEX([1]!Product_Pricing_Table[#Data],MATCH(DK$1,Products,0),2)="Cores",IF(HostBuild[Use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7" s="59">
        <f>IFERROR(IF(FIND(DL$1,$W57)&gt;0,IF(INDEX([1]!Product_Pricing_Table[#Data],MATCH(DL$1,Products,0),2)="Cores",IF(HostBuild[Use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7" s="59">
        <f>IFERROR(IF(FIND(DM$1,$W57)&gt;0,IF(INDEX([1]!Product_Pricing_Table[#Data],MATCH(DM$1,Products,0),2)="Cores",IF(HostBuild[Use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7" s="59">
        <f>IFERROR(IF(FIND(DN$1,$W57)&gt;0,IF(INDEX([1]!Product_Pricing_Table[#Data],MATCH(DN$1,Products,0),2)="Cores",IF(HostBuild[Use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7" s="59">
        <f>IFERROR(IF(FIND(DO$1,$W57)&gt;0,IF(INDEX([1]!Product_Pricing_Table[#Data],MATCH(DO$1,Products,0),2)="Cores",IF(HostBuild[Use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7" s="59">
        <f>IFERROR(IF(FIND(DP$1,$W57)&gt;0,IF(INDEX([1]!Product_Pricing_Table[#Data],MATCH(DP$1,Products,0),2)="Cores",IF(HostBuild[Use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7" s="59">
        <f>IFERROR(IF(FIND(DQ$1,$W57)&gt;0,IF(INDEX([1]!Product_Pricing_Table[#Data],MATCH(DQ$1,Products,0),2)="Cores",IF(HostBuild[Use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7" s="59">
        <f>IFERROR(IF(FIND(DR$1,$W57)&gt;0,IF(INDEX([1]!Product_Pricing_Table[#Data],MATCH(DR$1,Products,0),2)="Cores",IF(HostBuild[Use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7" s="59">
        <f>IFERROR(IF(FIND(DS$1,$W57)&gt;0,IF(INDEX([1]!Product_Pricing_Table[#Data],MATCH(DS$1,Products,0),2)="Cores",IF(HostBuild[Use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7" s="59">
        <f>IFERROR(IF(FIND(DT$1,$W57)&gt;0,IF(INDEX([1]!Product_Pricing_Table[#Data],MATCH(DT$1,Products,0),2)="Cores",IF(HostBuild[Use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7" s="59">
        <f>IFERROR(IF(FIND(DU$1,$W57)&gt;0,IF(INDEX([1]!Product_Pricing_Table[#Data],MATCH(DU$1,Products,0),2)="Cores",IF(HostBuild[Use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7" s="59">
        <f>IFERROR(IF(FIND(DV$1,$W57)&gt;0,IF(INDEX([1]!Product_Pricing_Table[#Data],MATCH(DV$1,Products,0),2)="Cores",IF(HostBuild[Use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7" s="59">
        <f>IFERROR(IF(FIND(DW$1,$W57)&gt;0,IF(INDEX([1]!Product_Pricing_Table[#Data],MATCH(DW$1,Products,0),2)="Cores",IF(HostBuild[Use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7" s="59">
        <f>IFERROR(IF(FIND(DX$1,$W57)&gt;0,IF(INDEX([1]!Product_Pricing_Table[#Data],MATCH(DX$1,Products,0),2)="Cores",IF(HostBuild[Use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7" s="59">
        <f>IFERROR(IF(FIND(DY$1,$W57)&gt;0,IF(INDEX([1]!Product_Pricing_Table[#Data],MATCH(DY$1,Products,0),2)="Cores",IF(HostBuild[Use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7" s="59">
        <f>IFERROR(IF(FIND(DZ$1,$W57)&gt;0,IF(INDEX([1]!Product_Pricing_Table[#Data],MATCH(DZ$1,Products,0),2)="Cores",IF(HostBuild[Use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7" s="59">
        <f>IFERROR(IF(FIND(EA$1,$W57)&gt;0,IF(INDEX([1]!Product_Pricing_Table[#Data],MATCH(EA$1,Products,0),2)="Cores",IF(HostBuild[Use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7" s="59">
        <f>IFERROR(IF(FIND(EB$1,$W57)&gt;0,IF(INDEX([1]!Product_Pricing_Table[#Data],MATCH(EB$1,Products,0),2)="Cores",IF(HostBuild[Use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7" s="60">
        <f>IFERROR(IF(FIND(EC$1,$W57)&gt;0,IF(INDEX([1]!Product_Pricing_Table[#Data],MATCH(EC$1,Products,0),2)="Cores",IF(HostBuild[Use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7" s="59">
        <f>IFERROR(IF(FIND(ED$1,$W57)&gt;0,IF(INDEX([1]!Product_Pricing_Table[#Data],MATCH(ED$1,Products,0),2)="Cores",IF(HostBuild[Use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7" s="59">
        <f>IFERROR(IF(FIND(EE$1,$W57)&gt;0,IF(INDEX([1]!Product_Pricing_Table[#Data],MATCH(EE$1,Products,0),2)="Cores",IF(HostBuild[Use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7" s="59">
        <f>IFERROR(IF(FIND(EF$1,$W57)&gt;0,IF(INDEX([1]!Product_Pricing_Table[#Data],MATCH(EF$1,Products,0),2)="Cores",IF(HostBuild[Use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7" s="59">
        <f>IFERROR(IF(FIND(EG$1,$W57)&gt;0,IF(INDEX([1]!Product_Pricing_Table[#Data],MATCH(EG$1,Products,0),2)="Cores",IF(HostBuild[Use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7" s="59">
        <f>IFERROR(IF(FIND(EH$1,$W57)&gt;0,IF(INDEX([1]!Product_Pricing_Table[#Data],MATCH(EH$1,Products,0),2)="Cores",IF(HostBuild[Use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7" s="59">
        <f>IFERROR(IF(FIND(EI$1,$W57)&gt;0,IF(INDEX([1]!Product_Pricing_Table[#Data],MATCH(EI$1,Products,0),2)="Cores",IF(HostBuild[Use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7" s="59">
        <f>IFERROR(IF(FIND(EJ$1,$W57)&gt;0,IF(INDEX([1]!Product_Pricing_Table[#Data],MATCH(EJ$1,Products,0),2)="Cores",IF(HostBuild[Use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7" s="60">
        <f>IFERROR(IF(FIND(EK$1,$W57)&gt;0,IF(INDEX([1]!Product_Pricing_Table[#Data],MATCH(EK$1,Products,0),2)="Cores",IF(HostBuild[Use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7" s="61"/>
      <c r="EM57" s="62"/>
      <c r="EN57" s="63"/>
      <c r="EO57"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7" s="132">
        <f>(HostBuild[Archive
Full (GB)]+HostBuild[Archive
Incr (GB)])*Storage_DC_Dist_Tape_2014</f>
        <v>0</v>
      </c>
      <c r="ER57" s="132">
        <f>IF(ISNUMBER(HostBuild[Server HW Costs
(Monthly)]),SUM(HostBuild[[#This Row],[Server HW Costs
(Monthly)]:[Tape Costs
(Monthly)]]),0)</f>
        <v>1003.9</v>
      </c>
      <c r="ES57" s="65">
        <f>HostBuild[Software Costs
'[Year 1']
(Monthly)]+HostBuild[Total Hardware Costs
(Monthly)]</f>
        <v>1003.9</v>
      </c>
      <c r="ET57" s="65">
        <f>IFERROR(IF(FIND("Safenet",HostBuild[Server Model]),Safenet_PSE_PL600_Maint,0),0)+IFERROR(IF(FIND("XI52",HostBuild[Server Model]),IBM_DIA_XI52_Maint,0),0)+HostBuild[Software Costs
'[After Year 1']
(Monthly)]+HostBuild[Total Hardware Costs
(Monthly)]</f>
        <v>1003.9</v>
      </c>
      <c r="EU57" s="66">
        <f>SUM(HostBuild[[#This Row],[Server Cost Breakdown]:[Network Cost]])</f>
        <v>1003.9</v>
      </c>
      <c r="EV57" s="67">
        <f>IF(HostBuild[Existing Server?]="Yes - Inside this BoM",0,SUMIF(HostBuild[Alias],HostBuild[Alias],HostBuild[CPU])+SUMIF(HostBuild[Alias],HostBuild[Alias],HostBuild[Existing CPUs]))</f>
        <v>2</v>
      </c>
      <c r="EW57" s="67">
        <f>IF(HostBuild[Existing Server?]="Yes - Inside this BoM",0,SUMIF(HostBuild[Alias],HostBuild[Alias],HostBuild[Cores 
(Licensed Units)])+SUMIF(HostBuild[Alias],HostBuild[Alias],HostBuild[Existing Cores]))</f>
        <v>0</v>
      </c>
      <c r="EX57" s="67">
        <f>IF(HostBuild[Existing Server?]="Yes - Inside this BoM",0,SUMIF(HostBuild[Alias],HostBuild[Alias],HostBuild[RAM 
(GB)])+SUMIF(HostBuild[Alias],HostBuild[Alias],HostBuild[Existing RAM (GB)]))</f>
        <v>256</v>
      </c>
      <c r="EY5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7" s="66">
        <f>IF(ISBLANK(HostBuild[Server Model]),0,IF(HostBuild[Server Tier]="VMware",0,VLOOKUP(HostBuild[Server Tier],[1]!ServerTierRates[#Data],2,0))*HostBuild[CPU]*IF(AND(HostBuild[Server Type]="pSeries",HostBuild[Virtual Platform Storage Type]="Cloud-SAN"),0.25,1))</f>
        <v>608</v>
      </c>
      <c r="FD57" s="66">
        <f>0</f>
        <v>0</v>
      </c>
      <c r="FE57" s="66">
        <f>IF(HostBuild[Server Type]="VMware",HostBuild[RAM 
(GB)]*IF(ISERROR(FIND("DevCloud", HostBuild[Server Model])&gt;0),vRAM_per_vCPU_2014_Monthly,vRAM_per_vCPU_2014_Daily*30),0)</f>
        <v>0</v>
      </c>
      <c r="FF5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7" s="69">
        <f>IF(HostBuild[Server Tier]="VMware",0,IF(LEFT(HostBuild[Existing Server?],3)="Yes",0,IF(OR(HostBuild[Server Type]="Sun",HostBuild[Server Type]="pSeries"),Support_Direct_Server_Sun_per_OS_2014,IF(HostBuild[Server Type]="x86",Support_Direct_Server_x86_Wintel_per_OS_2014,0))))</f>
        <v>187.1</v>
      </c>
      <c r="FI5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8" spans="1:165" hidden="1">
      <c r="A58" s="122" t="s">
        <v>53</v>
      </c>
      <c r="B58" s="36"/>
      <c r="C58" s="36"/>
      <c r="D58" s="36"/>
      <c r="E58" s="37"/>
      <c r="F58" s="37"/>
      <c r="G58" s="103"/>
      <c r="H58" s="103"/>
      <c r="I58" s="38"/>
      <c r="J58" s="37"/>
      <c r="K58" s="37"/>
      <c r="L58" s="37"/>
      <c r="M58" s="103" t="e">
        <f ca="1">IF(rngIsDate(HostBuild[CTO Acceptance]),"Y","N")</f>
        <v>#NAME?</v>
      </c>
      <c r="N58" s="123" t="s">
        <v>3</v>
      </c>
      <c r="O58" s="39"/>
      <c r="P58" s="39"/>
      <c r="Q58" s="123" t="s">
        <v>52</v>
      </c>
      <c r="R58" s="126" t="str">
        <f>IF(NOT(ISBLANK(HostBuild[Env Label])),IFERROR(VLOOKUP(HostBuild[Env Label],[1]!tEnv[#Data],3,FALSE),""),"")</f>
        <v/>
      </c>
      <c r="S58" s="104"/>
      <c r="T58" s="40"/>
      <c r="U58" s="105"/>
      <c r="V58" s="123" t="s">
        <v>82</v>
      </c>
      <c r="W58" s="123" t="s">
        <v>83</v>
      </c>
      <c r="X58" s="123" t="s">
        <v>57</v>
      </c>
      <c r="Y58" s="123" t="s">
        <v>58</v>
      </c>
      <c r="Z58" s="126" t="str">
        <f>IF(NOT(ISBLANK(HostBuild[[#This Row],[Product 
(Acronym)]])),CONCATENATE(HostBuild[[#This Row],[Type]],"-",HostBuild[[#This Row],[Product 
(Acronym)]]),"")</f>
        <v>AP-ESB</v>
      </c>
      <c r="AA58" s="106"/>
      <c r="AB58" s="106" t="s">
        <v>76</v>
      </c>
      <c r="AC58" s="41"/>
      <c r="AD58" s="42"/>
      <c r="AE58" s="42"/>
      <c r="AF58" s="43"/>
      <c r="AG58" s="124"/>
      <c r="AH58" s="107"/>
      <c r="AI58" s="124" t="s">
        <v>141</v>
      </c>
      <c r="AJ58" s="123">
        <f>IF(COUNTIF(HostBuild[Alias],HostBuild[Alias]),1/COUNTIF(HostBuild[Alias],HostBuild[Alias]),0)</f>
        <v>1</v>
      </c>
      <c r="AK58" s="124"/>
      <c r="AL58" s="124"/>
      <c r="AM58" s="44" t="s">
        <v>62</v>
      </c>
      <c r="AN58" s="45" t="str">
        <f>IF(NOT(ISBLANK(HostBuild[Server Model])),VLOOKUP(HostBuild[Server Model],[1]!ServerModelsTier[#Data],2,FALSE),"")</f>
        <v>x86 Tier 3</v>
      </c>
      <c r="AO58" s="45" t="str">
        <f>IF(NOT(ISBLANK(HostBuild[Server Model])),VLOOKUP(HostBuild[Server Model],[1]!ServerModelsTier[#Data],5,FALSE),"")</f>
        <v>x86</v>
      </c>
      <c r="AP58" s="44"/>
      <c r="AQ58" s="44" t="s">
        <v>63</v>
      </c>
      <c r="AR58" s="46">
        <v>2</v>
      </c>
      <c r="AS58" s="108"/>
      <c r="AT58" s="47"/>
      <c r="AU58" s="109" t="str">
        <f>IF(IFERROR(FIND("P-Series",HostBuild[Server Tier]),0),CEILING((HostBuild[Existing CPUs]+HostBuild[CPU])*16,8),"")</f>
        <v/>
      </c>
      <c r="AV58" s="48">
        <v>256</v>
      </c>
      <c r="AW58" s="124"/>
      <c r="AX58" s="124"/>
      <c r="AY58" s="124"/>
      <c r="AZ58" s="49"/>
      <c r="BA58" s="124"/>
      <c r="BB58" s="124"/>
      <c r="BC58" s="42"/>
      <c r="BD58" s="124"/>
      <c r="BE58" s="124"/>
      <c r="BF58" s="124"/>
      <c r="BG58" s="124"/>
      <c r="BH58" s="124"/>
      <c r="BI58" s="124"/>
      <c r="BJ58" s="124"/>
      <c r="BK58" s="133"/>
      <c r="BL58" s="127"/>
      <c r="BM58" s="129">
        <f>IF(ISNUMBER(HostBuild[Recommended SAN (GB)]),HostBuild[Recommended SAN (GB)])+IF(HostBuild[Additional SAN (GB)]&gt;0,CEILING(HostBuild[Additional SAN (GB)],LUN),-(CEILING(-HostBuild[Additional SAN (GB)],LUN)))</f>
        <v>0</v>
      </c>
      <c r="BN58" s="128"/>
      <c r="BO58" s="129">
        <f>HostBuild[SAN (GB)
NEEDED TODAY]+CEILING(HostBuild[SAN (GB)
RESERVED
DO NOT USE TO BUILD], LUN)</f>
        <v>0</v>
      </c>
      <c r="BP58" s="130"/>
      <c r="BQ58" s="131"/>
      <c r="BR58" s="125" t="s">
        <v>64</v>
      </c>
      <c r="BS58" s="110">
        <f>IF(HostBuild[Existing Server?]&lt;&gt;"Yes - Inside this BoM",IF(ISNUMBER(HostBuild[RAM 
(GB)]),IF(HostBuild[Existing RAM (GB)]+HostBuild[RAM 
(GB)]&gt;0,IF(HostBuild[Virtual Platform Storage Type]="NAS",110+HostBuild[Existing RAM (GB)]+HostBuild[RAM 
(GB)]*1.75,0),0),0),0)</f>
        <v>0</v>
      </c>
      <c r="BT58" s="111"/>
      <c r="BU58" s="112">
        <f>IF(ISNUMBER(HostBuild[Recommended NAS (GB)]),HostBuild[Recommended NAS (GB)])+HostBuild[Additional NAS (GB)]</f>
        <v>0</v>
      </c>
      <c r="BV58" s="50"/>
      <c r="BW58" s="50"/>
      <c r="BX58" s="133">
        <f>IFERROR((HostBuild[SAN (GB)
End-State
DO NOT USE TO BUILD]+HostBuild[SAN (GB) Shared])*25%,"")</f>
        <v>0</v>
      </c>
      <c r="BY58" s="113">
        <f>IFERROR(HostBuild[Archive
Full (GB)]*15%,"")</f>
        <v>0</v>
      </c>
      <c r="BZ58" s="51"/>
      <c r="CA58" s="51"/>
      <c r="CB58" s="52"/>
      <c r="CC58" s="53"/>
      <c r="CD58" s="52"/>
      <c r="CE58" s="54"/>
      <c r="CF58" s="128"/>
      <c r="CG58" s="114"/>
      <c r="CH58" s="55"/>
      <c r="CI58" s="56"/>
      <c r="CJ58" s="57" t="s">
        <v>85</v>
      </c>
      <c r="CK58" s="58"/>
      <c r="CL58" s="59">
        <f>IFERROR(IF(FIND(CL$1,$W58)&gt;0,IF(INDEX([1]!Product_Pricing_Table[#Data],MATCH(CL$1,Products,0),2)="Cores",IF(HostBuild[Use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8" s="59">
        <f>IFERROR(IF(FIND(CM$1,$W58)&gt;0,IF(INDEX([1]!Product_Pricing_Table[#Data],MATCH(CM$1,Products,0),2)="Cores",IF(HostBuild[Use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58" s="59">
        <f>IFERROR(IF(FIND(CN$1,$W58)&gt;0,IF(INDEX([1]!Product_Pricing_Table[#Data],MATCH(CN$1,Products,0),2)="Cores",IF(HostBuild[Use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8" s="59">
        <f>IFERROR(IF(FIND(CO$1,$W58)&gt;0,IF(INDEX([1]!Product_Pricing_Table[#Data],MATCH(CO$1,Products,0),2)="Cores",IF(HostBuild[Use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8" s="59">
        <f>IFERROR(IF(FIND(CP$1,$W58)&gt;0,IF(INDEX([1]!Product_Pricing_Table[#Data],MATCH(CP$1,Products,0),2)="Cores",IF(HostBuild[Use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8" s="59">
        <f>IFERROR(IF(FIND(CQ$1,$W58)&gt;0,IF(INDEX([1]!Product_Pricing_Table[#Data],MATCH(CQ$1,Products,0),2)="Cores",IF(HostBuild[Use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8" s="59">
        <f>IFERROR(IF(FIND(CR$1,$W58)&gt;0,IF(INDEX([1]!Product_Pricing_Table[#Data],MATCH(CR$1,Products,0),2)="Cores",IF(HostBuild[Use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8" s="59">
        <f>IFERROR(IF(FIND(CS$1,$W58)&gt;0,IF(INDEX([1]!Product_Pricing_Table[#Data],MATCH(CS$1,Products,0),2)="Cores",IF(HostBuild[Use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8" s="59">
        <f>IFERROR(IF(FIND(CT$1,$W58)&gt;0,IF(INDEX([1]!Product_Pricing_Table[#Data],MATCH(CT$1,Products,0),2)="Cores",IF(HostBuild[Use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8" s="59">
        <f>IFERROR(IF(FIND(CU$1,$W58)&gt;0,IF(INDEX([1]!Product_Pricing_Table[#Data],MATCH(CU$1,Products,0),2)="Cores",IF(HostBuild[Use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8" s="59">
        <f>IFERROR(IF(FIND(CV$1,$W58)&gt;0,IF(INDEX([1]!Product_Pricing_Table[#Data],MATCH(CV$1,Products,0),2)="Cores",IF(HostBuild[Use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8" s="59">
        <f>IFERROR(IF(FIND(CW$1,$W58)&gt;0,IF(INDEX([1]!Product_Pricing_Table[#Data],MATCH(CW$1,Products,0),2)="Cores",IF(HostBuild[Use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8" s="59">
        <f>IFERROR(IF(FIND(CX$1,$W58)&gt;0,IF(INDEX([1]!Product_Pricing_Table[#Data],MATCH(CX$1,Products,0),2)="Cores",IF(HostBuild[Use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8" s="59">
        <f>IFERROR(IF(FIND(CY$1,$W58)&gt;0,IF(INDEX([1]!Product_Pricing_Table[#Data],MATCH(CY$1,Products,0),2)="Cores",IF(HostBuild[Use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8" s="59">
        <f>IFERROR(IF(FIND(CZ$1,$W58)&gt;0,IF(INDEX([1]!Product_Pricing_Table[#Data],MATCH(CZ$1,Products,0),2)="Cores",IF(HostBuild[Use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8" s="59">
        <f>IFERROR(IF(FIND(DA$1,$W58)&gt;0,IF(INDEX([1]!Product_Pricing_Table[#Data],MATCH(DA$1,Products,0),2)="Cores",IF(HostBuild[Use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8" s="59">
        <f>IFERROR(IF(FIND(DB$1,$W58)&gt;0,IF(INDEX([1]!Product_Pricing_Table[#Data],MATCH(DB$1,Products,0),2)="Cores",IF(HostBuild[Use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8" s="59">
        <f>IFERROR(IF(FIND(DC$1,$W58)&gt;0,IF(INDEX([1]!Product_Pricing_Table[#Data],MATCH(DC$1,Products,0),2)="Cores",IF(HostBuild[Use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8" s="59">
        <f>IFERROR(IF(FIND(DD$1,$W58)&gt;0,IF(INDEX([1]!Product_Pricing_Table[#Data],MATCH(DD$1,Products,0),2)="Cores",IF(HostBuild[Use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8" s="59">
        <f>IFERROR(IF(FIND(DE$1,$W58)&gt;0,IF(INDEX([1]!Product_Pricing_Table[#Data],MATCH(DE$1,Products,0),2)="Cores",IF(HostBuild[Use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8" s="60">
        <f>IFERROR(IF(FIND(DF$1,$W58)&gt;0,IF(INDEX([1]!Product_Pricing_Table[#Data],MATCH(DF$1,Products,0),2)="Cores",IF(HostBuild[Use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8" s="60">
        <f>IFERROR(IF(FIND(DG$1,$W58)&gt;0,IF(INDEX([1]!Product_Pricing_Table[#Data],MATCH(DG$1,Products,0),2)="Cores",IF(HostBuild[Use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8" s="59">
        <f>IFERROR(IF(FIND(DH$1,$W58)&gt;0,IF(INDEX([1]!Product_Pricing_Table[#Data],MATCH(DH$1,Products,0),2)="Cores",IF(HostBuild[Use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8" s="60">
        <f>IFERROR(IF(FIND(DI$1,$W58)&gt;0,IF(INDEX([1]!Product_Pricing_Table[#Data],MATCH(DI$1,Products,0),2)="Cores",IF(HostBuild[Use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8" s="59">
        <f>IFERROR(IF(FIND(DJ$1,$W58)&gt;0,IF(INDEX([1]!Product_Pricing_Table[#Data],MATCH(DJ$1,Products,0),2)="Cores",IF(HostBuild[Use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8" s="59">
        <f>IFERROR(IF(FIND(DK$1,$W58)&gt;0,IF(INDEX([1]!Product_Pricing_Table[#Data],MATCH(DK$1,Products,0),2)="Cores",IF(HostBuild[Use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8" s="59">
        <f>IFERROR(IF(FIND(DL$1,$W58)&gt;0,IF(INDEX([1]!Product_Pricing_Table[#Data],MATCH(DL$1,Products,0),2)="Cores",IF(HostBuild[Use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8" s="59">
        <f>IFERROR(IF(FIND(DM$1,$W58)&gt;0,IF(INDEX([1]!Product_Pricing_Table[#Data],MATCH(DM$1,Products,0),2)="Cores",IF(HostBuild[Use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8" s="59">
        <f>IFERROR(IF(FIND(DN$1,$W58)&gt;0,IF(INDEX([1]!Product_Pricing_Table[#Data],MATCH(DN$1,Products,0),2)="Cores",IF(HostBuild[Use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8" s="59">
        <f>IFERROR(IF(FIND(DO$1,$W58)&gt;0,IF(INDEX([1]!Product_Pricing_Table[#Data],MATCH(DO$1,Products,0),2)="Cores",IF(HostBuild[Use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8" s="59">
        <f>IFERROR(IF(FIND(DP$1,$W58)&gt;0,IF(INDEX([1]!Product_Pricing_Table[#Data],MATCH(DP$1,Products,0),2)="Cores",IF(HostBuild[Use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8" s="59">
        <f>IFERROR(IF(FIND(DQ$1,$W58)&gt;0,IF(INDEX([1]!Product_Pricing_Table[#Data],MATCH(DQ$1,Products,0),2)="Cores",IF(HostBuild[Use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8" s="59">
        <f>IFERROR(IF(FIND(DR$1,$W58)&gt;0,IF(INDEX([1]!Product_Pricing_Table[#Data],MATCH(DR$1,Products,0),2)="Cores",IF(HostBuild[Use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8" s="59">
        <f>IFERROR(IF(FIND(DS$1,$W58)&gt;0,IF(INDEX([1]!Product_Pricing_Table[#Data],MATCH(DS$1,Products,0),2)="Cores",IF(HostBuild[Use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8" s="59">
        <f>IFERROR(IF(FIND(DT$1,$W58)&gt;0,IF(INDEX([1]!Product_Pricing_Table[#Data],MATCH(DT$1,Products,0),2)="Cores",IF(HostBuild[Use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8" s="59">
        <f>IFERROR(IF(FIND(DU$1,$W58)&gt;0,IF(INDEX([1]!Product_Pricing_Table[#Data],MATCH(DU$1,Products,0),2)="Cores",IF(HostBuild[Use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8" s="59">
        <f>IFERROR(IF(FIND(DV$1,$W58)&gt;0,IF(INDEX([1]!Product_Pricing_Table[#Data],MATCH(DV$1,Products,0),2)="Cores",IF(HostBuild[Use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8" s="59">
        <f>IFERROR(IF(FIND(DW$1,$W58)&gt;0,IF(INDEX([1]!Product_Pricing_Table[#Data],MATCH(DW$1,Products,0),2)="Cores",IF(HostBuild[Use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8" s="59">
        <f>IFERROR(IF(FIND(DX$1,$W58)&gt;0,IF(INDEX([1]!Product_Pricing_Table[#Data],MATCH(DX$1,Products,0),2)="Cores",IF(HostBuild[Use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8" s="59">
        <f>IFERROR(IF(FIND(DY$1,$W58)&gt;0,IF(INDEX([1]!Product_Pricing_Table[#Data],MATCH(DY$1,Products,0),2)="Cores",IF(HostBuild[Use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8" s="59">
        <f>IFERROR(IF(FIND(DZ$1,$W58)&gt;0,IF(INDEX([1]!Product_Pricing_Table[#Data],MATCH(DZ$1,Products,0),2)="Cores",IF(HostBuild[Use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8" s="59">
        <f>IFERROR(IF(FIND(EA$1,$W58)&gt;0,IF(INDEX([1]!Product_Pricing_Table[#Data],MATCH(EA$1,Products,0),2)="Cores",IF(HostBuild[Use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8" s="59">
        <f>IFERROR(IF(FIND(EB$1,$W58)&gt;0,IF(INDEX([1]!Product_Pricing_Table[#Data],MATCH(EB$1,Products,0),2)="Cores",IF(HostBuild[Use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8" s="60">
        <f>IFERROR(IF(FIND(EC$1,$W58)&gt;0,IF(INDEX([1]!Product_Pricing_Table[#Data],MATCH(EC$1,Products,0),2)="Cores",IF(HostBuild[Use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8" s="59">
        <f>IFERROR(IF(FIND(ED$1,$W58)&gt;0,IF(INDEX([1]!Product_Pricing_Table[#Data],MATCH(ED$1,Products,0),2)="Cores",IF(HostBuild[Use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8" s="59">
        <f>IFERROR(IF(FIND(EE$1,$W58)&gt;0,IF(INDEX([1]!Product_Pricing_Table[#Data],MATCH(EE$1,Products,0),2)="Cores",IF(HostBuild[Use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8" s="59">
        <f>IFERROR(IF(FIND(EF$1,$W58)&gt;0,IF(INDEX([1]!Product_Pricing_Table[#Data],MATCH(EF$1,Products,0),2)="Cores",IF(HostBuild[Use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8" s="59">
        <f>IFERROR(IF(FIND(EG$1,$W58)&gt;0,IF(INDEX([1]!Product_Pricing_Table[#Data],MATCH(EG$1,Products,0),2)="Cores",IF(HostBuild[Use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8" s="59">
        <f>IFERROR(IF(FIND(EH$1,$W58)&gt;0,IF(INDEX([1]!Product_Pricing_Table[#Data],MATCH(EH$1,Products,0),2)="Cores",IF(HostBuild[Use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8" s="59">
        <f>IFERROR(IF(FIND(EI$1,$W58)&gt;0,IF(INDEX([1]!Product_Pricing_Table[#Data],MATCH(EI$1,Products,0),2)="Cores",IF(HostBuild[Use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8" s="59">
        <f>IFERROR(IF(FIND(EJ$1,$W58)&gt;0,IF(INDEX([1]!Product_Pricing_Table[#Data],MATCH(EJ$1,Products,0),2)="Cores",IF(HostBuild[Use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8" s="60">
        <f>IFERROR(IF(FIND(EK$1,$W58)&gt;0,IF(INDEX([1]!Product_Pricing_Table[#Data],MATCH(EK$1,Products,0),2)="Cores",IF(HostBuild[Use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8" s="61"/>
      <c r="EM58" s="62"/>
      <c r="EN58" s="63"/>
      <c r="EO58"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8" s="132">
        <f>(HostBuild[Archive
Full (GB)]+HostBuild[Archive
Incr (GB)])*Storage_DC_Dist_Tape_2014</f>
        <v>0</v>
      </c>
      <c r="ER58" s="132">
        <f>IF(ISNUMBER(HostBuild[Server HW Costs
(Monthly)]),SUM(HostBuild[[#This Row],[Server HW Costs
(Monthly)]:[Tape Costs
(Monthly)]]),0)</f>
        <v>1003.9</v>
      </c>
      <c r="ES58" s="65">
        <f>HostBuild[Software Costs
'[Year 1']
(Monthly)]+HostBuild[Total Hardware Costs
(Monthly)]</f>
        <v>1003.9</v>
      </c>
      <c r="ET58" s="65">
        <f>IFERROR(IF(FIND("Safenet",HostBuild[Server Model]),Safenet_PSE_PL600_Maint,0),0)+IFERROR(IF(FIND("XI52",HostBuild[Server Model]),IBM_DIA_XI52_Maint,0),0)+HostBuild[Software Costs
'[After Year 1']
(Monthly)]+HostBuild[Total Hardware Costs
(Monthly)]</f>
        <v>1003.9</v>
      </c>
      <c r="EU58" s="66">
        <f>SUM(HostBuild[[#This Row],[Server Cost Breakdown]:[Network Cost]])</f>
        <v>1003.9</v>
      </c>
      <c r="EV58" s="67">
        <f>IF(HostBuild[Existing Server?]="Yes - Inside this BoM",0,SUMIF(HostBuild[Alias],HostBuild[Alias],HostBuild[CPU])+SUMIF(HostBuild[Alias],HostBuild[Alias],HostBuild[Existing CPUs]))</f>
        <v>2</v>
      </c>
      <c r="EW58" s="67">
        <f>IF(HostBuild[Existing Server?]="Yes - Inside this BoM",0,SUMIF(HostBuild[Alias],HostBuild[Alias],HostBuild[Cores 
(Licensed Units)])+SUMIF(HostBuild[Alias],HostBuild[Alias],HostBuild[Existing Cores]))</f>
        <v>0</v>
      </c>
      <c r="EX58" s="67">
        <f>IF(HostBuild[Existing Server?]="Yes - Inside this BoM",0,SUMIF(HostBuild[Alias],HostBuild[Alias],HostBuild[RAM 
(GB)])+SUMIF(HostBuild[Alias],HostBuild[Alias],HostBuild[Existing RAM (GB)]))</f>
        <v>256</v>
      </c>
      <c r="EY5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8" s="66">
        <f>IF(ISBLANK(HostBuild[Server Model]),0,IF(HostBuild[Server Tier]="VMware",0,VLOOKUP(HostBuild[Server Tier],[1]!ServerTierRates[#Data],2,0))*HostBuild[CPU]*IF(AND(HostBuild[Server Type]="pSeries",HostBuild[Virtual Platform Storage Type]="Cloud-SAN"),0.25,1))</f>
        <v>608</v>
      </c>
      <c r="FD58" s="66">
        <f>0</f>
        <v>0</v>
      </c>
      <c r="FE58" s="66">
        <f>IF(HostBuild[Server Type]="VMware",HostBuild[RAM 
(GB)]*IF(ISERROR(FIND("DevCloud", HostBuild[Server Model])&gt;0),vRAM_per_vCPU_2014_Monthly,vRAM_per_vCPU_2014_Daily*30),0)</f>
        <v>0</v>
      </c>
      <c r="FF5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8" s="69">
        <f>IF(HostBuild[Server Tier]="VMware",0,IF(LEFT(HostBuild[Existing Server?],3)="Yes",0,IF(OR(HostBuild[Server Type]="Sun",HostBuild[Server Type]="pSeries"),Support_Direct_Server_Sun_per_OS_2014,IF(HostBuild[Server Type]="x86",Support_Direct_Server_x86_Wintel_per_OS_2014,0))))</f>
        <v>187.1</v>
      </c>
      <c r="FI5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59" spans="1:165" hidden="1">
      <c r="A59" s="122" t="s">
        <v>53</v>
      </c>
      <c r="B59" s="36"/>
      <c r="C59" s="36"/>
      <c r="D59" s="36"/>
      <c r="E59" s="37"/>
      <c r="F59" s="37"/>
      <c r="G59" s="103"/>
      <c r="H59" s="103"/>
      <c r="I59" s="38"/>
      <c r="J59" s="37"/>
      <c r="K59" s="37"/>
      <c r="L59" s="37"/>
      <c r="M59" s="103" t="e">
        <f ca="1">IF(rngIsDate(HostBuild[CTO Acceptance]),"Y","N")</f>
        <v>#NAME?</v>
      </c>
      <c r="N59" s="123" t="s">
        <v>3</v>
      </c>
      <c r="O59" s="39"/>
      <c r="P59" s="39"/>
      <c r="Q59" s="123" t="s">
        <v>52</v>
      </c>
      <c r="R59" s="126" t="str">
        <f>IF(NOT(ISBLANK(HostBuild[Env Label])),IFERROR(VLOOKUP(HostBuild[Env Label],[1]!tEnv[#Data],3,FALSE),""),"")</f>
        <v/>
      </c>
      <c r="S59" s="104"/>
      <c r="T59" s="40"/>
      <c r="U59" s="105"/>
      <c r="V59" s="123" t="s">
        <v>82</v>
      </c>
      <c r="W59" s="123" t="s">
        <v>83</v>
      </c>
      <c r="X59" s="123" t="s">
        <v>57</v>
      </c>
      <c r="Y59" s="123" t="s">
        <v>58</v>
      </c>
      <c r="Z59" s="126" t="str">
        <f>IF(NOT(ISBLANK(HostBuild[[#This Row],[Product 
(Acronym)]])),CONCATENATE(HostBuild[[#This Row],[Type]],"-",HostBuild[[#This Row],[Product 
(Acronym)]]),"")</f>
        <v>AP-ESB</v>
      </c>
      <c r="AA59" s="106"/>
      <c r="AB59" s="106" t="s">
        <v>76</v>
      </c>
      <c r="AC59" s="41"/>
      <c r="AD59" s="42"/>
      <c r="AE59" s="42"/>
      <c r="AF59" s="43"/>
      <c r="AG59" s="124"/>
      <c r="AH59" s="107"/>
      <c r="AI59" s="124" t="s">
        <v>142</v>
      </c>
      <c r="AJ59" s="123">
        <f>IF(COUNTIF(HostBuild[Alias],HostBuild[Alias]),1/COUNTIF(HostBuild[Alias],HostBuild[Alias]),0)</f>
        <v>1</v>
      </c>
      <c r="AK59" s="124"/>
      <c r="AL59" s="124"/>
      <c r="AM59" s="44" t="s">
        <v>62</v>
      </c>
      <c r="AN59" s="45" t="str">
        <f>IF(NOT(ISBLANK(HostBuild[Server Model])),VLOOKUP(HostBuild[Server Model],[1]!ServerModelsTier[#Data],2,FALSE),"")</f>
        <v>x86 Tier 3</v>
      </c>
      <c r="AO59" s="45" t="str">
        <f>IF(NOT(ISBLANK(HostBuild[Server Model])),VLOOKUP(HostBuild[Server Model],[1]!ServerModelsTier[#Data],5,FALSE),"")</f>
        <v>x86</v>
      </c>
      <c r="AP59" s="44"/>
      <c r="AQ59" s="44" t="s">
        <v>63</v>
      </c>
      <c r="AR59" s="46">
        <v>2</v>
      </c>
      <c r="AS59" s="108"/>
      <c r="AT59" s="47"/>
      <c r="AU59" s="109" t="str">
        <f>IF(IFERROR(FIND("P-Series",HostBuild[Server Tier]),0),CEILING((HostBuild[Existing CPUs]+HostBuild[CPU])*16,8),"")</f>
        <v/>
      </c>
      <c r="AV59" s="48">
        <v>256</v>
      </c>
      <c r="AW59" s="124"/>
      <c r="AX59" s="124"/>
      <c r="AY59" s="124"/>
      <c r="AZ59" s="49"/>
      <c r="BA59" s="124"/>
      <c r="BB59" s="124"/>
      <c r="BC59" s="42"/>
      <c r="BD59" s="124"/>
      <c r="BE59" s="124"/>
      <c r="BF59" s="124"/>
      <c r="BG59" s="124"/>
      <c r="BH59" s="124"/>
      <c r="BI59" s="124"/>
      <c r="BJ59" s="124"/>
      <c r="BK59" s="133"/>
      <c r="BL59" s="127"/>
      <c r="BM59" s="129">
        <f>IF(ISNUMBER(HostBuild[Recommended SAN (GB)]),HostBuild[Recommended SAN (GB)])+IF(HostBuild[Additional SAN (GB)]&gt;0,CEILING(HostBuild[Additional SAN (GB)],LUN),-(CEILING(-HostBuild[Additional SAN (GB)],LUN)))</f>
        <v>0</v>
      </c>
      <c r="BN59" s="128"/>
      <c r="BO59" s="129">
        <f>HostBuild[SAN (GB)
NEEDED TODAY]+CEILING(HostBuild[SAN (GB)
RESERVED
DO NOT USE TO BUILD], LUN)</f>
        <v>0</v>
      </c>
      <c r="BP59" s="130"/>
      <c r="BQ59" s="131"/>
      <c r="BR59" s="125" t="s">
        <v>64</v>
      </c>
      <c r="BS59" s="110">
        <f>IF(HostBuild[Existing Server?]&lt;&gt;"Yes - Inside this BoM",IF(ISNUMBER(HostBuild[RAM 
(GB)]),IF(HostBuild[Existing RAM (GB)]+HostBuild[RAM 
(GB)]&gt;0,IF(HostBuild[Virtual Platform Storage Type]="NAS",110+HostBuild[Existing RAM (GB)]+HostBuild[RAM 
(GB)]*1.75,0),0),0),0)</f>
        <v>0</v>
      </c>
      <c r="BT59" s="111"/>
      <c r="BU59" s="112">
        <f>IF(ISNUMBER(HostBuild[Recommended NAS (GB)]),HostBuild[Recommended NAS (GB)])+HostBuild[Additional NAS (GB)]</f>
        <v>0</v>
      </c>
      <c r="BV59" s="50"/>
      <c r="BW59" s="50"/>
      <c r="BX59" s="133">
        <f>IFERROR((HostBuild[SAN (GB)
End-State
DO NOT USE TO BUILD]+HostBuild[SAN (GB) Shared])*25%,"")</f>
        <v>0</v>
      </c>
      <c r="BY59" s="113">
        <f>IFERROR(HostBuild[Archive
Full (GB)]*15%,"")</f>
        <v>0</v>
      </c>
      <c r="BZ59" s="51"/>
      <c r="CA59" s="51"/>
      <c r="CB59" s="52"/>
      <c r="CC59" s="53"/>
      <c r="CD59" s="52"/>
      <c r="CE59" s="54"/>
      <c r="CF59" s="128"/>
      <c r="CG59" s="114"/>
      <c r="CH59" s="55"/>
      <c r="CI59" s="56"/>
      <c r="CJ59" s="57"/>
      <c r="CK59" s="58"/>
      <c r="CL59" s="59">
        <f>IFERROR(IF(FIND(CL$1,$W59)&gt;0,IF(INDEX([1]!Product_Pricing_Table[#Data],MATCH(CL$1,Products,0),2)="Cores",IF(HostBuild[Use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59" s="59">
        <f>IFERROR(IF(FIND(CM$1,$W59)&gt;0,IF(INDEX([1]!Product_Pricing_Table[#Data],MATCH(CM$1,Products,0),2)="Cores",IF(HostBuild[Use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59" s="59">
        <f>IFERROR(IF(FIND(CN$1,$W59)&gt;0,IF(INDEX([1]!Product_Pricing_Table[#Data],MATCH(CN$1,Products,0),2)="Cores",IF(HostBuild[Use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59" s="59">
        <f>IFERROR(IF(FIND(CO$1,$W59)&gt;0,IF(INDEX([1]!Product_Pricing_Table[#Data],MATCH(CO$1,Products,0),2)="Cores",IF(HostBuild[Use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59" s="59">
        <f>IFERROR(IF(FIND(CP$1,$W59)&gt;0,IF(INDEX([1]!Product_Pricing_Table[#Data],MATCH(CP$1,Products,0),2)="Cores",IF(HostBuild[Use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59" s="59">
        <f>IFERROR(IF(FIND(CQ$1,$W59)&gt;0,IF(INDEX([1]!Product_Pricing_Table[#Data],MATCH(CQ$1,Products,0),2)="Cores",IF(HostBuild[Use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59" s="59">
        <f>IFERROR(IF(FIND(CR$1,$W59)&gt;0,IF(INDEX([1]!Product_Pricing_Table[#Data],MATCH(CR$1,Products,0),2)="Cores",IF(HostBuild[Use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59" s="59">
        <f>IFERROR(IF(FIND(CS$1,$W59)&gt;0,IF(INDEX([1]!Product_Pricing_Table[#Data],MATCH(CS$1,Products,0),2)="Cores",IF(HostBuild[Use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59" s="59">
        <f>IFERROR(IF(FIND(CT$1,$W59)&gt;0,IF(INDEX([1]!Product_Pricing_Table[#Data],MATCH(CT$1,Products,0),2)="Cores",IF(HostBuild[Use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59" s="59">
        <f>IFERROR(IF(FIND(CU$1,$W59)&gt;0,IF(INDEX([1]!Product_Pricing_Table[#Data],MATCH(CU$1,Products,0),2)="Cores",IF(HostBuild[Use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59" s="59">
        <f>IFERROR(IF(FIND(CV$1,$W59)&gt;0,IF(INDEX([1]!Product_Pricing_Table[#Data],MATCH(CV$1,Products,0),2)="Cores",IF(HostBuild[Use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59" s="59">
        <f>IFERROR(IF(FIND(CW$1,$W59)&gt;0,IF(INDEX([1]!Product_Pricing_Table[#Data],MATCH(CW$1,Products,0),2)="Cores",IF(HostBuild[Use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59" s="59">
        <f>IFERROR(IF(FIND(CX$1,$W59)&gt;0,IF(INDEX([1]!Product_Pricing_Table[#Data],MATCH(CX$1,Products,0),2)="Cores",IF(HostBuild[Use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59" s="59">
        <f>IFERROR(IF(FIND(CY$1,$W59)&gt;0,IF(INDEX([1]!Product_Pricing_Table[#Data],MATCH(CY$1,Products,0),2)="Cores",IF(HostBuild[Use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59" s="59">
        <f>IFERROR(IF(FIND(CZ$1,$W59)&gt;0,IF(INDEX([1]!Product_Pricing_Table[#Data],MATCH(CZ$1,Products,0),2)="Cores",IF(HostBuild[Use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59" s="59">
        <f>IFERROR(IF(FIND(DA$1,$W59)&gt;0,IF(INDEX([1]!Product_Pricing_Table[#Data],MATCH(DA$1,Products,0),2)="Cores",IF(HostBuild[Use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59" s="59">
        <f>IFERROR(IF(FIND(DB$1,$W59)&gt;0,IF(INDEX([1]!Product_Pricing_Table[#Data],MATCH(DB$1,Products,0),2)="Cores",IF(HostBuild[Use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59" s="59">
        <f>IFERROR(IF(FIND(DC$1,$W59)&gt;0,IF(INDEX([1]!Product_Pricing_Table[#Data],MATCH(DC$1,Products,0),2)="Cores",IF(HostBuild[Use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59" s="59">
        <f>IFERROR(IF(FIND(DD$1,$W59)&gt;0,IF(INDEX([1]!Product_Pricing_Table[#Data],MATCH(DD$1,Products,0),2)="Cores",IF(HostBuild[Use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59" s="59">
        <f>IFERROR(IF(FIND(DE$1,$W59)&gt;0,IF(INDEX([1]!Product_Pricing_Table[#Data],MATCH(DE$1,Products,0),2)="Cores",IF(HostBuild[Use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59" s="60">
        <f>IFERROR(IF(FIND(DF$1,$W59)&gt;0,IF(INDEX([1]!Product_Pricing_Table[#Data],MATCH(DF$1,Products,0),2)="Cores",IF(HostBuild[Use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59" s="60">
        <f>IFERROR(IF(FIND(DG$1,$W59)&gt;0,IF(INDEX([1]!Product_Pricing_Table[#Data],MATCH(DG$1,Products,0),2)="Cores",IF(HostBuild[Use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59" s="59">
        <f>IFERROR(IF(FIND(DH$1,$W59)&gt;0,IF(INDEX([1]!Product_Pricing_Table[#Data],MATCH(DH$1,Products,0),2)="Cores",IF(HostBuild[Use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59" s="60">
        <f>IFERROR(IF(FIND(DI$1,$W59)&gt;0,IF(INDEX([1]!Product_Pricing_Table[#Data],MATCH(DI$1,Products,0),2)="Cores",IF(HostBuild[Use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59" s="59">
        <f>IFERROR(IF(FIND(DJ$1,$W59)&gt;0,IF(INDEX([1]!Product_Pricing_Table[#Data],MATCH(DJ$1,Products,0),2)="Cores",IF(HostBuild[Use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59" s="59">
        <f>IFERROR(IF(FIND(DK$1,$W59)&gt;0,IF(INDEX([1]!Product_Pricing_Table[#Data],MATCH(DK$1,Products,0),2)="Cores",IF(HostBuild[Use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59" s="59">
        <f>IFERROR(IF(FIND(DL$1,$W59)&gt;0,IF(INDEX([1]!Product_Pricing_Table[#Data],MATCH(DL$1,Products,0),2)="Cores",IF(HostBuild[Use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59" s="59">
        <f>IFERROR(IF(FIND(DM$1,$W59)&gt;0,IF(INDEX([1]!Product_Pricing_Table[#Data],MATCH(DM$1,Products,0),2)="Cores",IF(HostBuild[Use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59" s="59">
        <f>IFERROR(IF(FIND(DN$1,$W59)&gt;0,IF(INDEX([1]!Product_Pricing_Table[#Data],MATCH(DN$1,Products,0),2)="Cores",IF(HostBuild[Use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59" s="59">
        <f>IFERROR(IF(FIND(DO$1,$W59)&gt;0,IF(INDEX([1]!Product_Pricing_Table[#Data],MATCH(DO$1,Products,0),2)="Cores",IF(HostBuild[Use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59" s="59">
        <f>IFERROR(IF(FIND(DP$1,$W59)&gt;0,IF(INDEX([1]!Product_Pricing_Table[#Data],MATCH(DP$1,Products,0),2)="Cores",IF(HostBuild[Use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59" s="59">
        <f>IFERROR(IF(FIND(DQ$1,$W59)&gt;0,IF(INDEX([1]!Product_Pricing_Table[#Data],MATCH(DQ$1,Products,0),2)="Cores",IF(HostBuild[Use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59" s="59">
        <f>IFERROR(IF(FIND(DR$1,$W59)&gt;0,IF(INDEX([1]!Product_Pricing_Table[#Data],MATCH(DR$1,Products,0),2)="Cores",IF(HostBuild[Use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59" s="59">
        <f>IFERROR(IF(FIND(DS$1,$W59)&gt;0,IF(INDEX([1]!Product_Pricing_Table[#Data],MATCH(DS$1,Products,0),2)="Cores",IF(HostBuild[Use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59" s="59">
        <f>IFERROR(IF(FIND(DT$1,$W59)&gt;0,IF(INDEX([1]!Product_Pricing_Table[#Data],MATCH(DT$1,Products,0),2)="Cores",IF(HostBuild[Use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59" s="59">
        <f>IFERROR(IF(FIND(DU$1,$W59)&gt;0,IF(INDEX([1]!Product_Pricing_Table[#Data],MATCH(DU$1,Products,0),2)="Cores",IF(HostBuild[Use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59" s="59">
        <f>IFERROR(IF(FIND(DV$1,$W59)&gt;0,IF(INDEX([1]!Product_Pricing_Table[#Data],MATCH(DV$1,Products,0),2)="Cores",IF(HostBuild[Use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59" s="59">
        <f>IFERROR(IF(FIND(DW$1,$W59)&gt;0,IF(INDEX([1]!Product_Pricing_Table[#Data],MATCH(DW$1,Products,0),2)="Cores",IF(HostBuild[Use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59" s="59">
        <f>IFERROR(IF(FIND(DX$1,$W59)&gt;0,IF(INDEX([1]!Product_Pricing_Table[#Data],MATCH(DX$1,Products,0),2)="Cores",IF(HostBuild[Use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59" s="59">
        <f>IFERROR(IF(FIND(DY$1,$W59)&gt;0,IF(INDEX([1]!Product_Pricing_Table[#Data],MATCH(DY$1,Products,0),2)="Cores",IF(HostBuild[Use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59" s="59">
        <f>IFERROR(IF(FIND(DZ$1,$W59)&gt;0,IF(INDEX([1]!Product_Pricing_Table[#Data],MATCH(DZ$1,Products,0),2)="Cores",IF(HostBuild[Use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59" s="59">
        <f>IFERROR(IF(FIND(EA$1,$W59)&gt;0,IF(INDEX([1]!Product_Pricing_Table[#Data],MATCH(EA$1,Products,0),2)="Cores",IF(HostBuild[Use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59" s="59">
        <f>IFERROR(IF(FIND(EB$1,$W59)&gt;0,IF(INDEX([1]!Product_Pricing_Table[#Data],MATCH(EB$1,Products,0),2)="Cores",IF(HostBuild[Use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59" s="60">
        <f>IFERROR(IF(FIND(EC$1,$W59)&gt;0,IF(INDEX([1]!Product_Pricing_Table[#Data],MATCH(EC$1,Products,0),2)="Cores",IF(HostBuild[Use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59" s="59">
        <f>IFERROR(IF(FIND(ED$1,$W59)&gt;0,IF(INDEX([1]!Product_Pricing_Table[#Data],MATCH(ED$1,Products,0),2)="Cores",IF(HostBuild[Use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59" s="59">
        <f>IFERROR(IF(FIND(EE$1,$W59)&gt;0,IF(INDEX([1]!Product_Pricing_Table[#Data],MATCH(EE$1,Products,0),2)="Cores",IF(HostBuild[Use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59" s="59">
        <f>IFERROR(IF(FIND(EF$1,$W59)&gt;0,IF(INDEX([1]!Product_Pricing_Table[#Data],MATCH(EF$1,Products,0),2)="Cores",IF(HostBuild[Use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59" s="59">
        <f>IFERROR(IF(FIND(EG$1,$W59)&gt;0,IF(INDEX([1]!Product_Pricing_Table[#Data],MATCH(EG$1,Products,0),2)="Cores",IF(HostBuild[Use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59" s="59">
        <f>IFERROR(IF(FIND(EH$1,$W59)&gt;0,IF(INDEX([1]!Product_Pricing_Table[#Data],MATCH(EH$1,Products,0),2)="Cores",IF(HostBuild[Use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59" s="59">
        <f>IFERROR(IF(FIND(EI$1,$W59)&gt;0,IF(INDEX([1]!Product_Pricing_Table[#Data],MATCH(EI$1,Products,0),2)="Cores",IF(HostBuild[Use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59" s="59">
        <f>IFERROR(IF(FIND(EJ$1,$W59)&gt;0,IF(INDEX([1]!Product_Pricing_Table[#Data],MATCH(EJ$1,Products,0),2)="Cores",IF(HostBuild[Use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59" s="60">
        <f>IFERROR(IF(FIND(EK$1,$W59)&gt;0,IF(INDEX([1]!Product_Pricing_Table[#Data],MATCH(EK$1,Products,0),2)="Cores",IF(HostBuild[Use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59" s="61"/>
      <c r="EM59" s="62"/>
      <c r="EN59" s="63"/>
      <c r="EO59"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5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59" s="132">
        <f>(HostBuild[Archive
Full (GB)]+HostBuild[Archive
Incr (GB)])*Storage_DC_Dist_Tape_2014</f>
        <v>0</v>
      </c>
      <c r="ER59" s="132">
        <f>IF(ISNUMBER(HostBuild[Server HW Costs
(Monthly)]),SUM(HostBuild[[#This Row],[Server HW Costs
(Monthly)]:[Tape Costs
(Monthly)]]),0)</f>
        <v>1003.9</v>
      </c>
      <c r="ES59" s="65">
        <f>HostBuild[Software Costs
'[Year 1']
(Monthly)]+HostBuild[Total Hardware Costs
(Monthly)]</f>
        <v>1003.9</v>
      </c>
      <c r="ET59" s="65">
        <f>IFERROR(IF(FIND("Safenet",HostBuild[Server Model]),Safenet_PSE_PL600_Maint,0),0)+IFERROR(IF(FIND("XI52",HostBuild[Server Model]),IBM_DIA_XI52_Maint,0),0)+HostBuild[Software Costs
'[After Year 1']
(Monthly)]+HostBuild[Total Hardware Costs
(Monthly)]</f>
        <v>1003.9</v>
      </c>
      <c r="EU59" s="66">
        <f>SUM(HostBuild[[#This Row],[Server Cost Breakdown]:[Network Cost]])</f>
        <v>1003.9</v>
      </c>
      <c r="EV59" s="67">
        <f>IF(HostBuild[Existing Server?]="Yes - Inside this BoM",0,SUMIF(HostBuild[Alias],HostBuild[Alias],HostBuild[CPU])+SUMIF(HostBuild[Alias],HostBuild[Alias],HostBuild[Existing CPUs]))</f>
        <v>2</v>
      </c>
      <c r="EW59" s="67">
        <f>IF(HostBuild[Existing Server?]="Yes - Inside this BoM",0,SUMIF(HostBuild[Alias],HostBuild[Alias],HostBuild[Cores 
(Licensed Units)])+SUMIF(HostBuild[Alias],HostBuild[Alias],HostBuild[Existing Cores]))</f>
        <v>0</v>
      </c>
      <c r="EX59" s="67">
        <f>IF(HostBuild[Existing Server?]="Yes - Inside this BoM",0,SUMIF(HostBuild[Alias],HostBuild[Alias],HostBuild[RAM 
(GB)])+SUMIF(HostBuild[Alias],HostBuild[Alias],HostBuild[Existing RAM (GB)]))</f>
        <v>256</v>
      </c>
      <c r="EY5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5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5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5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59" s="66">
        <f>IF(ISBLANK(HostBuild[Server Model]),0,IF(HostBuild[Server Tier]="VMware",0,VLOOKUP(HostBuild[Server Tier],[1]!ServerTierRates[#Data],2,0))*HostBuild[CPU]*IF(AND(HostBuild[Server Type]="pSeries",HostBuild[Virtual Platform Storage Type]="Cloud-SAN"),0.25,1))</f>
        <v>608</v>
      </c>
      <c r="FD59" s="66">
        <f>0</f>
        <v>0</v>
      </c>
      <c r="FE59" s="66">
        <f>IF(HostBuild[Server Type]="VMware",HostBuild[RAM 
(GB)]*IF(ISERROR(FIND("DevCloud", HostBuild[Server Model])&gt;0),vRAM_per_vCPU_2014_Monthly,vRAM_per_vCPU_2014_Daily*30),0)</f>
        <v>0</v>
      </c>
      <c r="FF5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5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59" s="69">
        <f>IF(HostBuild[Server Tier]="VMware",0,IF(LEFT(HostBuild[Existing Server?],3)="Yes",0,IF(OR(HostBuild[Server Type]="Sun",HostBuild[Server Type]="pSeries"),Support_Direct_Server_Sun_per_OS_2014,IF(HostBuild[Server Type]="x86",Support_Direct_Server_x86_Wintel_per_OS_2014,0))))</f>
        <v>187.1</v>
      </c>
      <c r="FI5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0" spans="1:165" hidden="1">
      <c r="A60" s="122" t="s">
        <v>53</v>
      </c>
      <c r="B60" s="36"/>
      <c r="C60" s="36"/>
      <c r="D60" s="36"/>
      <c r="E60" s="37"/>
      <c r="F60" s="37"/>
      <c r="G60" s="103"/>
      <c r="H60" s="103"/>
      <c r="I60" s="38"/>
      <c r="J60" s="37"/>
      <c r="K60" s="37"/>
      <c r="L60" s="37"/>
      <c r="M60" s="103" t="e">
        <f ca="1">IF(rngIsDate(HostBuild[CTO Acceptance]),"Y","N")</f>
        <v>#NAME?</v>
      </c>
      <c r="N60" s="123" t="s">
        <v>3</v>
      </c>
      <c r="O60" s="39"/>
      <c r="P60" s="39"/>
      <c r="Q60" s="123" t="s">
        <v>52</v>
      </c>
      <c r="R60" s="126" t="str">
        <f>IF(NOT(ISBLANK(HostBuild[Env Label])),IFERROR(VLOOKUP(HostBuild[Env Label],[1]!tEnv[#Data],3,FALSE),""),"")</f>
        <v/>
      </c>
      <c r="S60" s="104"/>
      <c r="T60" s="40"/>
      <c r="U60" s="105"/>
      <c r="V60" s="123" t="s">
        <v>82</v>
      </c>
      <c r="W60" s="123" t="s">
        <v>83</v>
      </c>
      <c r="X60" s="123" t="s">
        <v>57</v>
      </c>
      <c r="Y60" s="123" t="s">
        <v>58</v>
      </c>
      <c r="Z60" s="126" t="str">
        <f>IF(NOT(ISBLANK(HostBuild[[#This Row],[Product 
(Acronym)]])),CONCATENATE(HostBuild[[#This Row],[Type]],"-",HostBuild[[#This Row],[Product 
(Acronym)]]),"")</f>
        <v>AP-ESB</v>
      </c>
      <c r="AA60" s="106"/>
      <c r="AB60" s="106" t="s">
        <v>76</v>
      </c>
      <c r="AC60" s="41"/>
      <c r="AD60" s="42"/>
      <c r="AE60" s="42"/>
      <c r="AF60" s="43"/>
      <c r="AG60" s="124"/>
      <c r="AH60" s="107"/>
      <c r="AI60" s="124" t="s">
        <v>143</v>
      </c>
      <c r="AJ60" s="123">
        <f>IF(COUNTIF(HostBuild[Alias],HostBuild[Alias]),1/COUNTIF(HostBuild[Alias],HostBuild[Alias]),0)</f>
        <v>1</v>
      </c>
      <c r="AK60" s="124"/>
      <c r="AL60" s="124"/>
      <c r="AM60" s="44" t="s">
        <v>62</v>
      </c>
      <c r="AN60" s="45" t="str">
        <f>IF(NOT(ISBLANK(HostBuild[Server Model])),VLOOKUP(HostBuild[Server Model],[1]!ServerModelsTier[#Data],2,FALSE),"")</f>
        <v>x86 Tier 3</v>
      </c>
      <c r="AO60" s="45" t="str">
        <f>IF(NOT(ISBLANK(HostBuild[Server Model])),VLOOKUP(HostBuild[Server Model],[1]!ServerModelsTier[#Data],5,FALSE),"")</f>
        <v>x86</v>
      </c>
      <c r="AP60" s="44"/>
      <c r="AQ60" s="44" t="s">
        <v>63</v>
      </c>
      <c r="AR60" s="46">
        <v>2</v>
      </c>
      <c r="AS60" s="108"/>
      <c r="AT60" s="47"/>
      <c r="AU60" s="109" t="str">
        <f>IF(IFERROR(FIND("P-Series",HostBuild[Server Tier]),0),CEILING((HostBuild[Existing CPUs]+HostBuild[CPU])*16,8),"")</f>
        <v/>
      </c>
      <c r="AV60" s="48">
        <v>256</v>
      </c>
      <c r="AW60" s="124"/>
      <c r="AX60" s="124"/>
      <c r="AY60" s="124"/>
      <c r="AZ60" s="49"/>
      <c r="BA60" s="124"/>
      <c r="BB60" s="124"/>
      <c r="BC60" s="42"/>
      <c r="BD60" s="124"/>
      <c r="BE60" s="124"/>
      <c r="BF60" s="124"/>
      <c r="BG60" s="124"/>
      <c r="BH60" s="124"/>
      <c r="BI60" s="124"/>
      <c r="BJ60" s="124"/>
      <c r="BK60" s="133"/>
      <c r="BL60" s="127"/>
      <c r="BM60" s="129">
        <f>IF(ISNUMBER(HostBuild[Recommended SAN (GB)]),HostBuild[Recommended SAN (GB)])+IF(HostBuild[Additional SAN (GB)]&gt;0,CEILING(HostBuild[Additional SAN (GB)],LUN),-(CEILING(-HostBuild[Additional SAN (GB)],LUN)))</f>
        <v>0</v>
      </c>
      <c r="BN60" s="128"/>
      <c r="BO60" s="129">
        <f>HostBuild[SAN (GB)
NEEDED TODAY]+CEILING(HostBuild[SAN (GB)
RESERVED
DO NOT USE TO BUILD], LUN)</f>
        <v>0</v>
      </c>
      <c r="BP60" s="130"/>
      <c r="BQ60" s="131"/>
      <c r="BR60" s="125" t="s">
        <v>64</v>
      </c>
      <c r="BS60" s="110">
        <f>IF(HostBuild[Existing Server?]&lt;&gt;"Yes - Inside this BoM",IF(ISNUMBER(HostBuild[RAM 
(GB)]),IF(HostBuild[Existing RAM (GB)]+HostBuild[RAM 
(GB)]&gt;0,IF(HostBuild[Virtual Platform Storage Type]="NAS",110+HostBuild[Existing RAM (GB)]+HostBuild[RAM 
(GB)]*1.75,0),0),0),0)</f>
        <v>0</v>
      </c>
      <c r="BT60" s="111"/>
      <c r="BU60" s="112">
        <f>IF(ISNUMBER(HostBuild[Recommended NAS (GB)]),HostBuild[Recommended NAS (GB)])+HostBuild[Additional NAS (GB)]</f>
        <v>0</v>
      </c>
      <c r="BV60" s="50"/>
      <c r="BW60" s="50"/>
      <c r="BX60" s="133">
        <f>IFERROR((HostBuild[SAN (GB)
End-State
DO NOT USE TO BUILD]+HostBuild[SAN (GB) Shared])*25%,"")</f>
        <v>0</v>
      </c>
      <c r="BY60" s="113">
        <f>IFERROR(HostBuild[Archive
Full (GB)]*15%,"")</f>
        <v>0</v>
      </c>
      <c r="BZ60" s="51"/>
      <c r="CA60" s="51"/>
      <c r="CB60" s="52"/>
      <c r="CC60" s="53"/>
      <c r="CD60" s="52"/>
      <c r="CE60" s="54"/>
      <c r="CF60" s="128"/>
      <c r="CG60" s="114"/>
      <c r="CH60" s="55"/>
      <c r="CI60" s="56"/>
      <c r="CJ60" s="57"/>
      <c r="CK60" s="58"/>
      <c r="CL60" s="59">
        <f>IFERROR(IF(FIND(CL$1,$W60)&gt;0,IF(INDEX([1]!Product_Pricing_Table[#Data],MATCH(CL$1,Products,0),2)="Cores",IF(HostBuild[Use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0" s="59">
        <f>IFERROR(IF(FIND(CM$1,$W60)&gt;0,IF(INDEX([1]!Product_Pricing_Table[#Data],MATCH(CM$1,Products,0),2)="Cores",IF(HostBuild[Use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0" s="59">
        <f>IFERROR(IF(FIND(CN$1,$W60)&gt;0,IF(INDEX([1]!Product_Pricing_Table[#Data],MATCH(CN$1,Products,0),2)="Cores",IF(HostBuild[Use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0" s="59">
        <f>IFERROR(IF(FIND(CO$1,$W60)&gt;0,IF(INDEX([1]!Product_Pricing_Table[#Data],MATCH(CO$1,Products,0),2)="Cores",IF(HostBuild[Use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0" s="59">
        <f>IFERROR(IF(FIND(CP$1,$W60)&gt;0,IF(INDEX([1]!Product_Pricing_Table[#Data],MATCH(CP$1,Products,0),2)="Cores",IF(HostBuild[Use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0" s="59">
        <f>IFERROR(IF(FIND(CQ$1,$W60)&gt;0,IF(INDEX([1]!Product_Pricing_Table[#Data],MATCH(CQ$1,Products,0),2)="Cores",IF(HostBuild[Use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0" s="59">
        <f>IFERROR(IF(FIND(CR$1,$W60)&gt;0,IF(INDEX([1]!Product_Pricing_Table[#Data],MATCH(CR$1,Products,0),2)="Cores",IF(HostBuild[Use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0" s="59">
        <f>IFERROR(IF(FIND(CS$1,$W60)&gt;0,IF(INDEX([1]!Product_Pricing_Table[#Data],MATCH(CS$1,Products,0),2)="Cores",IF(HostBuild[Use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0" s="59">
        <f>IFERROR(IF(FIND(CT$1,$W60)&gt;0,IF(INDEX([1]!Product_Pricing_Table[#Data],MATCH(CT$1,Products,0),2)="Cores",IF(HostBuild[Use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0" s="59">
        <f>IFERROR(IF(FIND(CU$1,$W60)&gt;0,IF(INDEX([1]!Product_Pricing_Table[#Data],MATCH(CU$1,Products,0),2)="Cores",IF(HostBuild[Use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0" s="59">
        <f>IFERROR(IF(FIND(CV$1,$W60)&gt;0,IF(INDEX([1]!Product_Pricing_Table[#Data],MATCH(CV$1,Products,0),2)="Cores",IF(HostBuild[Use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0" s="59">
        <f>IFERROR(IF(FIND(CW$1,$W60)&gt;0,IF(INDEX([1]!Product_Pricing_Table[#Data],MATCH(CW$1,Products,0),2)="Cores",IF(HostBuild[Use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0" s="59">
        <f>IFERROR(IF(FIND(CX$1,$W60)&gt;0,IF(INDEX([1]!Product_Pricing_Table[#Data],MATCH(CX$1,Products,0),2)="Cores",IF(HostBuild[Use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0" s="59">
        <f>IFERROR(IF(FIND(CY$1,$W60)&gt;0,IF(INDEX([1]!Product_Pricing_Table[#Data],MATCH(CY$1,Products,0),2)="Cores",IF(HostBuild[Use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0" s="59">
        <f>IFERROR(IF(FIND(CZ$1,$W60)&gt;0,IF(INDEX([1]!Product_Pricing_Table[#Data],MATCH(CZ$1,Products,0),2)="Cores",IF(HostBuild[Use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0" s="59">
        <f>IFERROR(IF(FIND(DA$1,$W60)&gt;0,IF(INDEX([1]!Product_Pricing_Table[#Data],MATCH(DA$1,Products,0),2)="Cores",IF(HostBuild[Use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0" s="59">
        <f>IFERROR(IF(FIND(DB$1,$W60)&gt;0,IF(INDEX([1]!Product_Pricing_Table[#Data],MATCH(DB$1,Products,0),2)="Cores",IF(HostBuild[Use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0" s="59">
        <f>IFERROR(IF(FIND(DC$1,$W60)&gt;0,IF(INDEX([1]!Product_Pricing_Table[#Data],MATCH(DC$1,Products,0),2)="Cores",IF(HostBuild[Use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0" s="59">
        <f>IFERROR(IF(FIND(DD$1,$W60)&gt;0,IF(INDEX([1]!Product_Pricing_Table[#Data],MATCH(DD$1,Products,0),2)="Cores",IF(HostBuild[Use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0" s="59">
        <f>IFERROR(IF(FIND(DE$1,$W60)&gt;0,IF(INDEX([1]!Product_Pricing_Table[#Data],MATCH(DE$1,Products,0),2)="Cores",IF(HostBuild[Use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0" s="60">
        <f>IFERROR(IF(FIND(DF$1,$W60)&gt;0,IF(INDEX([1]!Product_Pricing_Table[#Data],MATCH(DF$1,Products,0),2)="Cores",IF(HostBuild[Use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0" s="60">
        <f>IFERROR(IF(FIND(DG$1,$W60)&gt;0,IF(INDEX([1]!Product_Pricing_Table[#Data],MATCH(DG$1,Products,0),2)="Cores",IF(HostBuild[Use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0" s="59">
        <f>IFERROR(IF(FIND(DH$1,$W60)&gt;0,IF(INDEX([1]!Product_Pricing_Table[#Data],MATCH(DH$1,Products,0),2)="Cores",IF(HostBuild[Use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0" s="60">
        <f>IFERROR(IF(FIND(DI$1,$W60)&gt;0,IF(INDEX([1]!Product_Pricing_Table[#Data],MATCH(DI$1,Products,0),2)="Cores",IF(HostBuild[Use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0" s="59">
        <f>IFERROR(IF(FIND(DJ$1,$W60)&gt;0,IF(INDEX([1]!Product_Pricing_Table[#Data],MATCH(DJ$1,Products,0),2)="Cores",IF(HostBuild[Use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0" s="59">
        <f>IFERROR(IF(FIND(DK$1,$W60)&gt;0,IF(INDEX([1]!Product_Pricing_Table[#Data],MATCH(DK$1,Products,0),2)="Cores",IF(HostBuild[Use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0" s="59">
        <f>IFERROR(IF(FIND(DL$1,$W60)&gt;0,IF(INDEX([1]!Product_Pricing_Table[#Data],MATCH(DL$1,Products,0),2)="Cores",IF(HostBuild[Use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0" s="59">
        <f>IFERROR(IF(FIND(DM$1,$W60)&gt;0,IF(INDEX([1]!Product_Pricing_Table[#Data],MATCH(DM$1,Products,0),2)="Cores",IF(HostBuild[Use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0" s="59">
        <f>IFERROR(IF(FIND(DN$1,$W60)&gt;0,IF(INDEX([1]!Product_Pricing_Table[#Data],MATCH(DN$1,Products,0),2)="Cores",IF(HostBuild[Use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0" s="59">
        <f>IFERROR(IF(FIND(DO$1,$W60)&gt;0,IF(INDEX([1]!Product_Pricing_Table[#Data],MATCH(DO$1,Products,0),2)="Cores",IF(HostBuild[Use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0" s="59">
        <f>IFERROR(IF(FIND(DP$1,$W60)&gt;0,IF(INDEX([1]!Product_Pricing_Table[#Data],MATCH(DP$1,Products,0),2)="Cores",IF(HostBuild[Use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0" s="59">
        <f>IFERROR(IF(FIND(DQ$1,$W60)&gt;0,IF(INDEX([1]!Product_Pricing_Table[#Data],MATCH(DQ$1,Products,0),2)="Cores",IF(HostBuild[Use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0" s="59">
        <f>IFERROR(IF(FIND(DR$1,$W60)&gt;0,IF(INDEX([1]!Product_Pricing_Table[#Data],MATCH(DR$1,Products,0),2)="Cores",IF(HostBuild[Use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0" s="59">
        <f>IFERROR(IF(FIND(DS$1,$W60)&gt;0,IF(INDEX([1]!Product_Pricing_Table[#Data],MATCH(DS$1,Products,0),2)="Cores",IF(HostBuild[Use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0" s="59">
        <f>IFERROR(IF(FIND(DT$1,$W60)&gt;0,IF(INDEX([1]!Product_Pricing_Table[#Data],MATCH(DT$1,Products,0),2)="Cores",IF(HostBuild[Use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0" s="59">
        <f>IFERROR(IF(FIND(DU$1,$W60)&gt;0,IF(INDEX([1]!Product_Pricing_Table[#Data],MATCH(DU$1,Products,0),2)="Cores",IF(HostBuild[Use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0" s="59">
        <f>IFERROR(IF(FIND(DV$1,$W60)&gt;0,IF(INDEX([1]!Product_Pricing_Table[#Data],MATCH(DV$1,Products,0),2)="Cores",IF(HostBuild[Use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0" s="59">
        <f>IFERROR(IF(FIND(DW$1,$W60)&gt;0,IF(INDEX([1]!Product_Pricing_Table[#Data],MATCH(DW$1,Products,0),2)="Cores",IF(HostBuild[Use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0" s="59">
        <f>IFERROR(IF(FIND(DX$1,$W60)&gt;0,IF(INDEX([1]!Product_Pricing_Table[#Data],MATCH(DX$1,Products,0),2)="Cores",IF(HostBuild[Use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0" s="59">
        <f>IFERROR(IF(FIND(DY$1,$W60)&gt;0,IF(INDEX([1]!Product_Pricing_Table[#Data],MATCH(DY$1,Products,0),2)="Cores",IF(HostBuild[Use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0" s="59">
        <f>IFERROR(IF(FIND(DZ$1,$W60)&gt;0,IF(INDEX([1]!Product_Pricing_Table[#Data],MATCH(DZ$1,Products,0),2)="Cores",IF(HostBuild[Use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0" s="59">
        <f>IFERROR(IF(FIND(EA$1,$W60)&gt;0,IF(INDEX([1]!Product_Pricing_Table[#Data],MATCH(EA$1,Products,0),2)="Cores",IF(HostBuild[Use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0" s="59">
        <f>IFERROR(IF(FIND(EB$1,$W60)&gt;0,IF(INDEX([1]!Product_Pricing_Table[#Data],MATCH(EB$1,Products,0),2)="Cores",IF(HostBuild[Use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0" s="60">
        <f>IFERROR(IF(FIND(EC$1,$W60)&gt;0,IF(INDEX([1]!Product_Pricing_Table[#Data],MATCH(EC$1,Products,0),2)="Cores",IF(HostBuild[Use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0" s="59">
        <f>IFERROR(IF(FIND(ED$1,$W60)&gt;0,IF(INDEX([1]!Product_Pricing_Table[#Data],MATCH(ED$1,Products,0),2)="Cores",IF(HostBuild[Use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0" s="59">
        <f>IFERROR(IF(FIND(EE$1,$W60)&gt;0,IF(INDEX([1]!Product_Pricing_Table[#Data],MATCH(EE$1,Products,0),2)="Cores",IF(HostBuild[Use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0" s="59">
        <f>IFERROR(IF(FIND(EF$1,$W60)&gt;0,IF(INDEX([1]!Product_Pricing_Table[#Data],MATCH(EF$1,Products,0),2)="Cores",IF(HostBuild[Use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0" s="59">
        <f>IFERROR(IF(FIND(EG$1,$W60)&gt;0,IF(INDEX([1]!Product_Pricing_Table[#Data],MATCH(EG$1,Products,0),2)="Cores",IF(HostBuild[Use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0" s="59">
        <f>IFERROR(IF(FIND(EH$1,$W60)&gt;0,IF(INDEX([1]!Product_Pricing_Table[#Data],MATCH(EH$1,Products,0),2)="Cores",IF(HostBuild[Use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0" s="59">
        <f>IFERROR(IF(FIND(EI$1,$W60)&gt;0,IF(INDEX([1]!Product_Pricing_Table[#Data],MATCH(EI$1,Products,0),2)="Cores",IF(HostBuild[Use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0" s="59">
        <f>IFERROR(IF(FIND(EJ$1,$W60)&gt;0,IF(INDEX([1]!Product_Pricing_Table[#Data],MATCH(EJ$1,Products,0),2)="Cores",IF(HostBuild[Use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0" s="60">
        <f>IFERROR(IF(FIND(EK$1,$W60)&gt;0,IF(INDEX([1]!Product_Pricing_Table[#Data],MATCH(EK$1,Products,0),2)="Cores",IF(HostBuild[Use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0" s="61"/>
      <c r="EM60" s="62"/>
      <c r="EN60" s="63"/>
      <c r="EO60"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6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0" s="132">
        <f>(HostBuild[Archive
Full (GB)]+HostBuild[Archive
Incr (GB)])*Storage_DC_Dist_Tape_2014</f>
        <v>0</v>
      </c>
      <c r="ER60" s="132">
        <f>IF(ISNUMBER(HostBuild[Server HW Costs
(Monthly)]),SUM(HostBuild[[#This Row],[Server HW Costs
(Monthly)]:[Tape Costs
(Monthly)]]),0)</f>
        <v>1003.9</v>
      </c>
      <c r="ES60" s="65">
        <f>HostBuild[Software Costs
'[Year 1']
(Monthly)]+HostBuild[Total Hardware Costs
(Monthly)]</f>
        <v>1003.9</v>
      </c>
      <c r="ET60" s="65">
        <f>IFERROR(IF(FIND("Safenet",HostBuild[Server Model]),Safenet_PSE_PL600_Maint,0),0)+IFERROR(IF(FIND("XI52",HostBuild[Server Model]),IBM_DIA_XI52_Maint,0),0)+HostBuild[Software Costs
'[After Year 1']
(Monthly)]+HostBuild[Total Hardware Costs
(Monthly)]</f>
        <v>1003.9</v>
      </c>
      <c r="EU60" s="66">
        <f>SUM(HostBuild[[#This Row],[Server Cost Breakdown]:[Network Cost]])</f>
        <v>1003.9</v>
      </c>
      <c r="EV60" s="67">
        <f>IF(HostBuild[Existing Server?]="Yes - Inside this BoM",0,SUMIF(HostBuild[Alias],HostBuild[Alias],HostBuild[CPU])+SUMIF(HostBuild[Alias],HostBuild[Alias],HostBuild[Existing CPUs]))</f>
        <v>2</v>
      </c>
      <c r="EW60" s="67">
        <f>IF(HostBuild[Existing Server?]="Yes - Inside this BoM",0,SUMIF(HostBuild[Alias],HostBuild[Alias],HostBuild[Cores 
(Licensed Units)])+SUMIF(HostBuild[Alias],HostBuild[Alias],HostBuild[Existing Cores]))</f>
        <v>0</v>
      </c>
      <c r="EX60" s="67">
        <f>IF(HostBuild[Existing Server?]="Yes - Inside this BoM",0,SUMIF(HostBuild[Alias],HostBuild[Alias],HostBuild[RAM 
(GB)])+SUMIF(HostBuild[Alias],HostBuild[Alias],HostBuild[Existing RAM (GB)]))</f>
        <v>256</v>
      </c>
      <c r="EY6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0" s="66">
        <f>IF(ISBLANK(HostBuild[Server Model]),0,IF(HostBuild[Server Tier]="VMware",0,VLOOKUP(HostBuild[Server Tier],[1]!ServerTierRates[#Data],2,0))*HostBuild[CPU]*IF(AND(HostBuild[Server Type]="pSeries",HostBuild[Virtual Platform Storage Type]="Cloud-SAN"),0.25,1))</f>
        <v>608</v>
      </c>
      <c r="FD60" s="66">
        <f>0</f>
        <v>0</v>
      </c>
      <c r="FE60" s="66">
        <f>IF(HostBuild[Server Type]="VMware",HostBuild[RAM 
(GB)]*IF(ISERROR(FIND("DevCloud", HostBuild[Server Model])&gt;0),vRAM_per_vCPU_2014_Monthly,vRAM_per_vCPU_2014_Daily*30),0)</f>
        <v>0</v>
      </c>
      <c r="FF6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6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0" s="69">
        <f>IF(HostBuild[Server Tier]="VMware",0,IF(LEFT(HostBuild[Existing Server?],3)="Yes",0,IF(OR(HostBuild[Server Type]="Sun",HostBuild[Server Type]="pSeries"),Support_Direct_Server_Sun_per_OS_2014,IF(HostBuild[Server Type]="x86",Support_Direct_Server_x86_Wintel_per_OS_2014,0))))</f>
        <v>187.1</v>
      </c>
      <c r="FI6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1" spans="1:165" hidden="1">
      <c r="A61" s="122" t="s">
        <v>53</v>
      </c>
      <c r="B61" s="36"/>
      <c r="C61" s="36"/>
      <c r="D61" s="36"/>
      <c r="E61" s="37"/>
      <c r="F61" s="37"/>
      <c r="G61" s="103"/>
      <c r="H61" s="103"/>
      <c r="I61" s="38"/>
      <c r="J61" s="37"/>
      <c r="K61" s="37"/>
      <c r="L61" s="37"/>
      <c r="M61" s="103" t="e">
        <f ca="1">IF(rngIsDate(HostBuild[CTO Acceptance]),"Y","N")</f>
        <v>#NAME?</v>
      </c>
      <c r="N61" s="123" t="s">
        <v>3</v>
      </c>
      <c r="O61" s="39"/>
      <c r="P61" s="39"/>
      <c r="Q61" s="123" t="s">
        <v>52</v>
      </c>
      <c r="R61" s="126" t="str">
        <f>IF(NOT(ISBLANK(HostBuild[Env Label])),IFERROR(VLOOKUP(HostBuild[Env Label],[1]!tEnv[#Data],3,FALSE),""),"")</f>
        <v/>
      </c>
      <c r="S61" s="104"/>
      <c r="T61" s="40"/>
      <c r="U61" s="105"/>
      <c r="V61" s="123" t="s">
        <v>82</v>
      </c>
      <c r="W61" s="123" t="s">
        <v>83</v>
      </c>
      <c r="X61" s="123" t="s">
        <v>57</v>
      </c>
      <c r="Y61" s="123" t="s">
        <v>58</v>
      </c>
      <c r="Z61" s="126" t="str">
        <f>IF(NOT(ISBLANK(HostBuild[[#This Row],[Product 
(Acronym)]])),CONCATENATE(HostBuild[[#This Row],[Type]],"-",HostBuild[[#This Row],[Product 
(Acronym)]]),"")</f>
        <v>AP-ESB</v>
      </c>
      <c r="AA61" s="106"/>
      <c r="AB61" s="106" t="s">
        <v>76</v>
      </c>
      <c r="AC61" s="41"/>
      <c r="AD61" s="42"/>
      <c r="AE61" s="42"/>
      <c r="AF61" s="43"/>
      <c r="AG61" s="124"/>
      <c r="AH61" s="107"/>
      <c r="AI61" s="124" t="s">
        <v>144</v>
      </c>
      <c r="AJ61" s="123">
        <f>IF(COUNTIF(HostBuild[Alias],HostBuild[Alias]),1/COUNTIF(HostBuild[Alias],HostBuild[Alias]),0)</f>
        <v>1</v>
      </c>
      <c r="AK61" s="124"/>
      <c r="AL61" s="124"/>
      <c r="AM61" s="44" t="s">
        <v>62</v>
      </c>
      <c r="AN61" s="45" t="str">
        <f>IF(NOT(ISBLANK(HostBuild[Server Model])),VLOOKUP(HostBuild[Server Model],[1]!ServerModelsTier[#Data],2,FALSE),"")</f>
        <v>x86 Tier 3</v>
      </c>
      <c r="AO61" s="45" t="str">
        <f>IF(NOT(ISBLANK(HostBuild[Server Model])),VLOOKUP(HostBuild[Server Model],[1]!ServerModelsTier[#Data],5,FALSE),"")</f>
        <v>x86</v>
      </c>
      <c r="AP61" s="44"/>
      <c r="AQ61" s="44" t="s">
        <v>63</v>
      </c>
      <c r="AR61" s="46">
        <v>2</v>
      </c>
      <c r="AS61" s="108"/>
      <c r="AT61" s="47"/>
      <c r="AU61" s="109" t="str">
        <f>IF(IFERROR(FIND("P-Series",HostBuild[Server Tier]),0),CEILING((HostBuild[Existing CPUs]+HostBuild[CPU])*16,8),"")</f>
        <v/>
      </c>
      <c r="AV61" s="48">
        <v>256</v>
      </c>
      <c r="AW61" s="124"/>
      <c r="AX61" s="124"/>
      <c r="AY61" s="124"/>
      <c r="AZ61" s="49"/>
      <c r="BA61" s="124"/>
      <c r="BB61" s="124"/>
      <c r="BC61" s="42"/>
      <c r="BD61" s="124"/>
      <c r="BE61" s="124"/>
      <c r="BF61" s="124"/>
      <c r="BG61" s="124"/>
      <c r="BH61" s="124"/>
      <c r="BI61" s="124"/>
      <c r="BJ61" s="124"/>
      <c r="BK61" s="133"/>
      <c r="BL61" s="127"/>
      <c r="BM61" s="129">
        <f>IF(ISNUMBER(HostBuild[Recommended SAN (GB)]),HostBuild[Recommended SAN (GB)])+IF(HostBuild[Additional SAN (GB)]&gt;0,CEILING(HostBuild[Additional SAN (GB)],LUN),-(CEILING(-HostBuild[Additional SAN (GB)],LUN)))</f>
        <v>0</v>
      </c>
      <c r="BN61" s="128"/>
      <c r="BO61" s="129">
        <f>HostBuild[SAN (GB)
NEEDED TODAY]+CEILING(HostBuild[SAN (GB)
RESERVED
DO NOT USE TO BUILD], LUN)</f>
        <v>0</v>
      </c>
      <c r="BP61" s="130"/>
      <c r="BQ61" s="131"/>
      <c r="BR61" s="125" t="s">
        <v>64</v>
      </c>
      <c r="BS61" s="110">
        <f>IF(HostBuild[Existing Server?]&lt;&gt;"Yes - Inside this BoM",IF(ISNUMBER(HostBuild[RAM 
(GB)]),IF(HostBuild[Existing RAM (GB)]+HostBuild[RAM 
(GB)]&gt;0,IF(HostBuild[Virtual Platform Storage Type]="NAS",110+HostBuild[Existing RAM (GB)]+HostBuild[RAM 
(GB)]*1.75,0),0),0),0)</f>
        <v>0</v>
      </c>
      <c r="BT61" s="111"/>
      <c r="BU61" s="112">
        <f>IF(ISNUMBER(HostBuild[Recommended NAS (GB)]),HostBuild[Recommended NAS (GB)])+HostBuild[Additional NAS (GB)]</f>
        <v>0</v>
      </c>
      <c r="BV61" s="50"/>
      <c r="BW61" s="50"/>
      <c r="BX61" s="133">
        <f>IFERROR((HostBuild[SAN (GB)
End-State
DO NOT USE TO BUILD]+HostBuild[SAN (GB) Shared])*25%,"")</f>
        <v>0</v>
      </c>
      <c r="BY61" s="113">
        <f>IFERROR(HostBuild[Archive
Full (GB)]*15%,"")</f>
        <v>0</v>
      </c>
      <c r="BZ61" s="51"/>
      <c r="CA61" s="51"/>
      <c r="CB61" s="52"/>
      <c r="CC61" s="53"/>
      <c r="CD61" s="52"/>
      <c r="CE61" s="54"/>
      <c r="CF61" s="128"/>
      <c r="CG61" s="114"/>
      <c r="CH61" s="55"/>
      <c r="CI61" s="56"/>
      <c r="CJ61" s="57"/>
      <c r="CK61" s="58"/>
      <c r="CL61" s="59">
        <f>IFERROR(IF(FIND(CL$1,$W61)&gt;0,IF(INDEX([1]!Product_Pricing_Table[#Data],MATCH(CL$1,Products,0),2)="Cores",IF(HostBuild[Use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1" s="59">
        <f>IFERROR(IF(FIND(CM$1,$W61)&gt;0,IF(INDEX([1]!Product_Pricing_Table[#Data],MATCH(CM$1,Products,0),2)="Cores",IF(HostBuild[Use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1" s="59">
        <f>IFERROR(IF(FIND(CN$1,$W61)&gt;0,IF(INDEX([1]!Product_Pricing_Table[#Data],MATCH(CN$1,Products,0),2)="Cores",IF(HostBuild[Use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1" s="59">
        <f>IFERROR(IF(FIND(CO$1,$W61)&gt;0,IF(INDEX([1]!Product_Pricing_Table[#Data],MATCH(CO$1,Products,0),2)="Cores",IF(HostBuild[Use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1" s="59">
        <f>IFERROR(IF(FIND(CP$1,$W61)&gt;0,IF(INDEX([1]!Product_Pricing_Table[#Data],MATCH(CP$1,Products,0),2)="Cores",IF(HostBuild[Use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1" s="59">
        <f>IFERROR(IF(FIND(CQ$1,$W61)&gt;0,IF(INDEX([1]!Product_Pricing_Table[#Data],MATCH(CQ$1,Products,0),2)="Cores",IF(HostBuild[Use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1" s="59">
        <f>IFERROR(IF(FIND(CR$1,$W61)&gt;0,IF(INDEX([1]!Product_Pricing_Table[#Data],MATCH(CR$1,Products,0),2)="Cores",IF(HostBuild[Use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1" s="59">
        <f>IFERROR(IF(FIND(CS$1,$W61)&gt;0,IF(INDEX([1]!Product_Pricing_Table[#Data],MATCH(CS$1,Products,0),2)="Cores",IF(HostBuild[Use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1" s="59">
        <f>IFERROR(IF(FIND(CT$1,$W61)&gt;0,IF(INDEX([1]!Product_Pricing_Table[#Data],MATCH(CT$1,Products,0),2)="Cores",IF(HostBuild[Use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1" s="59">
        <f>IFERROR(IF(FIND(CU$1,$W61)&gt;0,IF(INDEX([1]!Product_Pricing_Table[#Data],MATCH(CU$1,Products,0),2)="Cores",IF(HostBuild[Use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1" s="59">
        <f>IFERROR(IF(FIND(CV$1,$W61)&gt;0,IF(INDEX([1]!Product_Pricing_Table[#Data],MATCH(CV$1,Products,0),2)="Cores",IF(HostBuild[Use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1" s="59">
        <f>IFERROR(IF(FIND(CW$1,$W61)&gt;0,IF(INDEX([1]!Product_Pricing_Table[#Data],MATCH(CW$1,Products,0),2)="Cores",IF(HostBuild[Use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1" s="59">
        <f>IFERROR(IF(FIND(CX$1,$W61)&gt;0,IF(INDEX([1]!Product_Pricing_Table[#Data],MATCH(CX$1,Products,0),2)="Cores",IF(HostBuild[Use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1" s="59">
        <f>IFERROR(IF(FIND(CY$1,$W61)&gt;0,IF(INDEX([1]!Product_Pricing_Table[#Data],MATCH(CY$1,Products,0),2)="Cores",IF(HostBuild[Use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1" s="59">
        <f>IFERROR(IF(FIND(CZ$1,$W61)&gt;0,IF(INDEX([1]!Product_Pricing_Table[#Data],MATCH(CZ$1,Products,0),2)="Cores",IF(HostBuild[Use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1" s="59">
        <f>IFERROR(IF(FIND(DA$1,$W61)&gt;0,IF(INDEX([1]!Product_Pricing_Table[#Data],MATCH(DA$1,Products,0),2)="Cores",IF(HostBuild[Use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1" s="59">
        <f>IFERROR(IF(FIND(DB$1,$W61)&gt;0,IF(INDEX([1]!Product_Pricing_Table[#Data],MATCH(DB$1,Products,0),2)="Cores",IF(HostBuild[Use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1" s="59">
        <f>IFERROR(IF(FIND(DC$1,$W61)&gt;0,IF(INDEX([1]!Product_Pricing_Table[#Data],MATCH(DC$1,Products,0),2)="Cores",IF(HostBuild[Use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1" s="59">
        <f>IFERROR(IF(FIND(DD$1,$W61)&gt;0,IF(INDEX([1]!Product_Pricing_Table[#Data],MATCH(DD$1,Products,0),2)="Cores",IF(HostBuild[Use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1" s="59">
        <f>IFERROR(IF(FIND(DE$1,$W61)&gt;0,IF(INDEX([1]!Product_Pricing_Table[#Data],MATCH(DE$1,Products,0),2)="Cores",IF(HostBuild[Use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1" s="60">
        <f>IFERROR(IF(FIND(DF$1,$W61)&gt;0,IF(INDEX([1]!Product_Pricing_Table[#Data],MATCH(DF$1,Products,0),2)="Cores",IF(HostBuild[Use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1" s="60">
        <f>IFERROR(IF(FIND(DG$1,$W61)&gt;0,IF(INDEX([1]!Product_Pricing_Table[#Data],MATCH(DG$1,Products,0),2)="Cores",IF(HostBuild[Use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1" s="59">
        <f>IFERROR(IF(FIND(DH$1,$W61)&gt;0,IF(INDEX([1]!Product_Pricing_Table[#Data],MATCH(DH$1,Products,0),2)="Cores",IF(HostBuild[Use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1" s="60">
        <f>IFERROR(IF(FIND(DI$1,$W61)&gt;0,IF(INDEX([1]!Product_Pricing_Table[#Data],MATCH(DI$1,Products,0),2)="Cores",IF(HostBuild[Use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1" s="59">
        <f>IFERROR(IF(FIND(DJ$1,$W61)&gt;0,IF(INDEX([1]!Product_Pricing_Table[#Data],MATCH(DJ$1,Products,0),2)="Cores",IF(HostBuild[Use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1" s="59">
        <f>IFERROR(IF(FIND(DK$1,$W61)&gt;0,IF(INDEX([1]!Product_Pricing_Table[#Data],MATCH(DK$1,Products,0),2)="Cores",IF(HostBuild[Use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1" s="59">
        <f>IFERROR(IF(FIND(DL$1,$W61)&gt;0,IF(INDEX([1]!Product_Pricing_Table[#Data],MATCH(DL$1,Products,0),2)="Cores",IF(HostBuild[Use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1" s="59">
        <f>IFERROR(IF(FIND(DM$1,$W61)&gt;0,IF(INDEX([1]!Product_Pricing_Table[#Data],MATCH(DM$1,Products,0),2)="Cores",IF(HostBuild[Use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1" s="59">
        <f>IFERROR(IF(FIND(DN$1,$W61)&gt;0,IF(INDEX([1]!Product_Pricing_Table[#Data],MATCH(DN$1,Products,0),2)="Cores",IF(HostBuild[Use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1" s="59">
        <f>IFERROR(IF(FIND(DO$1,$W61)&gt;0,IF(INDEX([1]!Product_Pricing_Table[#Data],MATCH(DO$1,Products,0),2)="Cores",IF(HostBuild[Use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1" s="59">
        <f>IFERROR(IF(FIND(DP$1,$W61)&gt;0,IF(INDEX([1]!Product_Pricing_Table[#Data],MATCH(DP$1,Products,0),2)="Cores",IF(HostBuild[Use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1" s="59">
        <f>IFERROR(IF(FIND(DQ$1,$W61)&gt;0,IF(INDEX([1]!Product_Pricing_Table[#Data],MATCH(DQ$1,Products,0),2)="Cores",IF(HostBuild[Use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1" s="59">
        <f>IFERROR(IF(FIND(DR$1,$W61)&gt;0,IF(INDEX([1]!Product_Pricing_Table[#Data],MATCH(DR$1,Products,0),2)="Cores",IF(HostBuild[Use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1" s="59">
        <f>IFERROR(IF(FIND(DS$1,$W61)&gt;0,IF(INDEX([1]!Product_Pricing_Table[#Data],MATCH(DS$1,Products,0),2)="Cores",IF(HostBuild[Use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1" s="59">
        <f>IFERROR(IF(FIND(DT$1,$W61)&gt;0,IF(INDEX([1]!Product_Pricing_Table[#Data],MATCH(DT$1,Products,0),2)="Cores",IF(HostBuild[Use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1" s="59">
        <f>IFERROR(IF(FIND(DU$1,$W61)&gt;0,IF(INDEX([1]!Product_Pricing_Table[#Data],MATCH(DU$1,Products,0),2)="Cores",IF(HostBuild[Use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1" s="59">
        <f>IFERROR(IF(FIND(DV$1,$W61)&gt;0,IF(INDEX([1]!Product_Pricing_Table[#Data],MATCH(DV$1,Products,0),2)="Cores",IF(HostBuild[Use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1" s="59">
        <f>IFERROR(IF(FIND(DW$1,$W61)&gt;0,IF(INDEX([1]!Product_Pricing_Table[#Data],MATCH(DW$1,Products,0),2)="Cores",IF(HostBuild[Use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1" s="59">
        <f>IFERROR(IF(FIND(DX$1,$W61)&gt;0,IF(INDEX([1]!Product_Pricing_Table[#Data],MATCH(DX$1,Products,0),2)="Cores",IF(HostBuild[Use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1" s="59">
        <f>IFERROR(IF(FIND(DY$1,$W61)&gt;0,IF(INDEX([1]!Product_Pricing_Table[#Data],MATCH(DY$1,Products,0),2)="Cores",IF(HostBuild[Use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1" s="59">
        <f>IFERROR(IF(FIND(DZ$1,$W61)&gt;0,IF(INDEX([1]!Product_Pricing_Table[#Data],MATCH(DZ$1,Products,0),2)="Cores",IF(HostBuild[Use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1" s="59">
        <f>IFERROR(IF(FIND(EA$1,$W61)&gt;0,IF(INDEX([1]!Product_Pricing_Table[#Data],MATCH(EA$1,Products,0),2)="Cores",IF(HostBuild[Use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1" s="59">
        <f>IFERROR(IF(FIND(EB$1,$W61)&gt;0,IF(INDEX([1]!Product_Pricing_Table[#Data],MATCH(EB$1,Products,0),2)="Cores",IF(HostBuild[Use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1" s="60">
        <f>IFERROR(IF(FIND(EC$1,$W61)&gt;0,IF(INDEX([1]!Product_Pricing_Table[#Data],MATCH(EC$1,Products,0),2)="Cores",IF(HostBuild[Use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1" s="59">
        <f>IFERROR(IF(FIND(ED$1,$W61)&gt;0,IF(INDEX([1]!Product_Pricing_Table[#Data],MATCH(ED$1,Products,0),2)="Cores",IF(HostBuild[Use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1" s="59">
        <f>IFERROR(IF(FIND(EE$1,$W61)&gt;0,IF(INDEX([1]!Product_Pricing_Table[#Data],MATCH(EE$1,Products,0),2)="Cores",IF(HostBuild[Use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1" s="59">
        <f>IFERROR(IF(FIND(EF$1,$W61)&gt;0,IF(INDEX([1]!Product_Pricing_Table[#Data],MATCH(EF$1,Products,0),2)="Cores",IF(HostBuild[Use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1" s="59">
        <f>IFERROR(IF(FIND(EG$1,$W61)&gt;0,IF(INDEX([1]!Product_Pricing_Table[#Data],MATCH(EG$1,Products,0),2)="Cores",IF(HostBuild[Use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1" s="59">
        <f>IFERROR(IF(FIND(EH$1,$W61)&gt;0,IF(INDEX([1]!Product_Pricing_Table[#Data],MATCH(EH$1,Products,0),2)="Cores",IF(HostBuild[Use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1" s="59">
        <f>IFERROR(IF(FIND(EI$1,$W61)&gt;0,IF(INDEX([1]!Product_Pricing_Table[#Data],MATCH(EI$1,Products,0),2)="Cores",IF(HostBuild[Use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1" s="59">
        <f>IFERROR(IF(FIND(EJ$1,$W61)&gt;0,IF(INDEX([1]!Product_Pricing_Table[#Data],MATCH(EJ$1,Products,0),2)="Cores",IF(HostBuild[Use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1" s="60">
        <f>IFERROR(IF(FIND(EK$1,$W61)&gt;0,IF(INDEX([1]!Product_Pricing_Table[#Data],MATCH(EK$1,Products,0),2)="Cores",IF(HostBuild[Use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1" s="61"/>
      <c r="EM61" s="62"/>
      <c r="EN61" s="63"/>
      <c r="EO61"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6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1" s="132">
        <f>(HostBuild[Archive
Full (GB)]+HostBuild[Archive
Incr (GB)])*Storage_DC_Dist_Tape_2014</f>
        <v>0</v>
      </c>
      <c r="ER61" s="132">
        <f>IF(ISNUMBER(HostBuild[Server HW Costs
(Monthly)]),SUM(HostBuild[[#This Row],[Server HW Costs
(Monthly)]:[Tape Costs
(Monthly)]]),0)</f>
        <v>1003.9</v>
      </c>
      <c r="ES61" s="65">
        <f>HostBuild[Software Costs
'[Year 1']
(Monthly)]+HostBuild[Total Hardware Costs
(Monthly)]</f>
        <v>1003.9</v>
      </c>
      <c r="ET61" s="65">
        <f>IFERROR(IF(FIND("Safenet",HostBuild[Server Model]),Safenet_PSE_PL600_Maint,0),0)+IFERROR(IF(FIND("XI52",HostBuild[Server Model]),IBM_DIA_XI52_Maint,0),0)+HostBuild[Software Costs
'[After Year 1']
(Monthly)]+HostBuild[Total Hardware Costs
(Monthly)]</f>
        <v>1003.9</v>
      </c>
      <c r="EU61" s="66">
        <f>SUM(HostBuild[[#This Row],[Server Cost Breakdown]:[Network Cost]])</f>
        <v>1003.9</v>
      </c>
      <c r="EV61" s="67">
        <f>IF(HostBuild[Existing Server?]="Yes - Inside this BoM",0,SUMIF(HostBuild[Alias],HostBuild[Alias],HostBuild[CPU])+SUMIF(HostBuild[Alias],HostBuild[Alias],HostBuild[Existing CPUs]))</f>
        <v>2</v>
      </c>
      <c r="EW61" s="67">
        <f>IF(HostBuild[Existing Server?]="Yes - Inside this BoM",0,SUMIF(HostBuild[Alias],HostBuild[Alias],HostBuild[Cores 
(Licensed Units)])+SUMIF(HostBuild[Alias],HostBuild[Alias],HostBuild[Existing Cores]))</f>
        <v>0</v>
      </c>
      <c r="EX61" s="67">
        <f>IF(HostBuild[Existing Server?]="Yes - Inside this BoM",0,SUMIF(HostBuild[Alias],HostBuild[Alias],HostBuild[RAM 
(GB)])+SUMIF(HostBuild[Alias],HostBuild[Alias],HostBuild[Existing RAM (GB)]))</f>
        <v>256</v>
      </c>
      <c r="EY6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1" s="66">
        <f>IF(ISBLANK(HostBuild[Server Model]),0,IF(HostBuild[Server Tier]="VMware",0,VLOOKUP(HostBuild[Server Tier],[1]!ServerTierRates[#Data],2,0))*HostBuild[CPU]*IF(AND(HostBuild[Server Type]="pSeries",HostBuild[Virtual Platform Storage Type]="Cloud-SAN"),0.25,1))</f>
        <v>608</v>
      </c>
      <c r="FD61" s="66">
        <f>0</f>
        <v>0</v>
      </c>
      <c r="FE61" s="66">
        <f>IF(HostBuild[Server Type]="VMware",HostBuild[RAM 
(GB)]*IF(ISERROR(FIND("DevCloud", HostBuild[Server Model])&gt;0),vRAM_per_vCPU_2014_Monthly,vRAM_per_vCPU_2014_Daily*30),0)</f>
        <v>0</v>
      </c>
      <c r="FF6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6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1" s="69">
        <f>IF(HostBuild[Server Tier]="VMware",0,IF(LEFT(HostBuild[Existing Server?],3)="Yes",0,IF(OR(HostBuild[Server Type]="Sun",HostBuild[Server Type]="pSeries"),Support_Direct_Server_Sun_per_OS_2014,IF(HostBuild[Server Type]="x86",Support_Direct_Server_x86_Wintel_per_OS_2014,0))))</f>
        <v>187.1</v>
      </c>
      <c r="FI6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2" spans="1:165" hidden="1">
      <c r="A62" s="122" t="s">
        <v>53</v>
      </c>
      <c r="B62" s="36"/>
      <c r="C62" s="36"/>
      <c r="D62" s="36"/>
      <c r="E62" s="37"/>
      <c r="F62" s="37"/>
      <c r="G62" s="103"/>
      <c r="H62" s="103"/>
      <c r="I62" s="38"/>
      <c r="J62" s="37"/>
      <c r="K62" s="37"/>
      <c r="L62" s="37"/>
      <c r="M62" s="103" t="e">
        <f ca="1">IF(rngIsDate(HostBuild[CTO Acceptance]),"Y","N")</f>
        <v>#NAME?</v>
      </c>
      <c r="N62" s="123" t="s">
        <v>3</v>
      </c>
      <c r="O62" s="39"/>
      <c r="P62" s="39"/>
      <c r="Q62" s="123" t="s">
        <v>52</v>
      </c>
      <c r="R62" s="126" t="str">
        <f>IF(NOT(ISBLANK(HostBuild[Env Label])),IFERROR(VLOOKUP(HostBuild[Env Label],[1]!tEnv[#Data],3,FALSE),""),"")</f>
        <v/>
      </c>
      <c r="S62" s="104"/>
      <c r="T62" s="40"/>
      <c r="U62" s="105"/>
      <c r="V62" s="123" t="s">
        <v>82</v>
      </c>
      <c r="W62" s="123" t="s">
        <v>83</v>
      </c>
      <c r="X62" s="123" t="s">
        <v>57</v>
      </c>
      <c r="Y62" s="123" t="s">
        <v>58</v>
      </c>
      <c r="Z62" s="126" t="str">
        <f>IF(NOT(ISBLANK(HostBuild[[#This Row],[Product 
(Acronym)]])),CONCATENATE(HostBuild[[#This Row],[Type]],"-",HostBuild[[#This Row],[Product 
(Acronym)]]),"")</f>
        <v>AP-ESB</v>
      </c>
      <c r="AA62" s="106"/>
      <c r="AB62" s="106" t="s">
        <v>76</v>
      </c>
      <c r="AC62" s="41"/>
      <c r="AD62" s="42"/>
      <c r="AE62" s="42"/>
      <c r="AF62" s="43"/>
      <c r="AG62" s="124"/>
      <c r="AH62" s="107"/>
      <c r="AI62" s="124" t="s">
        <v>145</v>
      </c>
      <c r="AJ62" s="123">
        <f>IF(COUNTIF(HostBuild[Alias],HostBuild[Alias]),1/COUNTIF(HostBuild[Alias],HostBuild[Alias]),0)</f>
        <v>1</v>
      </c>
      <c r="AK62" s="124"/>
      <c r="AL62" s="124"/>
      <c r="AM62" s="44" t="s">
        <v>62</v>
      </c>
      <c r="AN62" s="45" t="str">
        <f>IF(NOT(ISBLANK(HostBuild[Server Model])),VLOOKUP(HostBuild[Server Model],[1]!ServerModelsTier[#Data],2,FALSE),"")</f>
        <v>x86 Tier 3</v>
      </c>
      <c r="AO62" s="45" t="str">
        <f>IF(NOT(ISBLANK(HostBuild[Server Model])),VLOOKUP(HostBuild[Server Model],[1]!ServerModelsTier[#Data],5,FALSE),"")</f>
        <v>x86</v>
      </c>
      <c r="AP62" s="44"/>
      <c r="AQ62" s="44" t="s">
        <v>63</v>
      </c>
      <c r="AR62" s="46">
        <v>2</v>
      </c>
      <c r="AS62" s="108"/>
      <c r="AT62" s="47"/>
      <c r="AU62" s="109" t="str">
        <f>IF(IFERROR(FIND("P-Series",HostBuild[Server Tier]),0),CEILING((HostBuild[Existing CPUs]+HostBuild[CPU])*16,8),"")</f>
        <v/>
      </c>
      <c r="AV62" s="48">
        <v>256</v>
      </c>
      <c r="AW62" s="124"/>
      <c r="AX62" s="124"/>
      <c r="AY62" s="124"/>
      <c r="AZ62" s="49"/>
      <c r="BA62" s="124"/>
      <c r="BB62" s="124"/>
      <c r="BC62" s="42"/>
      <c r="BD62" s="124"/>
      <c r="BE62" s="124"/>
      <c r="BF62" s="124"/>
      <c r="BG62" s="124"/>
      <c r="BH62" s="124"/>
      <c r="BI62" s="124"/>
      <c r="BJ62" s="124"/>
      <c r="BK62" s="133"/>
      <c r="BL62" s="127"/>
      <c r="BM62" s="129">
        <f>IF(ISNUMBER(HostBuild[Recommended SAN (GB)]),HostBuild[Recommended SAN (GB)])+IF(HostBuild[Additional SAN (GB)]&gt;0,CEILING(HostBuild[Additional SAN (GB)],LUN),-(CEILING(-HostBuild[Additional SAN (GB)],LUN)))</f>
        <v>0</v>
      </c>
      <c r="BN62" s="128"/>
      <c r="BO62" s="129">
        <f>HostBuild[SAN (GB)
NEEDED TODAY]+CEILING(HostBuild[SAN (GB)
RESERVED
DO NOT USE TO BUILD], LUN)</f>
        <v>0</v>
      </c>
      <c r="BP62" s="130"/>
      <c r="BQ62" s="131"/>
      <c r="BR62" s="125" t="s">
        <v>64</v>
      </c>
      <c r="BS62" s="110">
        <f>IF(HostBuild[Existing Server?]&lt;&gt;"Yes - Inside this BoM",IF(ISNUMBER(HostBuild[RAM 
(GB)]),IF(HostBuild[Existing RAM (GB)]+HostBuild[RAM 
(GB)]&gt;0,IF(HostBuild[Virtual Platform Storage Type]="NAS",110+HostBuild[Existing RAM (GB)]+HostBuild[RAM 
(GB)]*1.75,0),0),0),0)</f>
        <v>0</v>
      </c>
      <c r="BT62" s="111"/>
      <c r="BU62" s="112">
        <f>IF(ISNUMBER(HostBuild[Recommended NAS (GB)]),HostBuild[Recommended NAS (GB)])+HostBuild[Additional NAS (GB)]</f>
        <v>0</v>
      </c>
      <c r="BV62" s="50"/>
      <c r="BW62" s="50"/>
      <c r="BX62" s="133">
        <f>IFERROR((HostBuild[SAN (GB)
End-State
DO NOT USE TO BUILD]+HostBuild[SAN (GB) Shared])*25%,"")</f>
        <v>0</v>
      </c>
      <c r="BY62" s="113">
        <f>IFERROR(HostBuild[Archive
Full (GB)]*15%,"")</f>
        <v>0</v>
      </c>
      <c r="BZ62" s="51"/>
      <c r="CA62" s="51"/>
      <c r="CB62" s="52"/>
      <c r="CC62" s="53"/>
      <c r="CD62" s="52"/>
      <c r="CE62" s="54"/>
      <c r="CF62" s="128"/>
      <c r="CG62" s="114"/>
      <c r="CH62" s="55"/>
      <c r="CI62" s="56"/>
      <c r="CJ62" s="57"/>
      <c r="CK62" s="58"/>
      <c r="CL62" s="59">
        <f>IFERROR(IF(FIND(CL$1,$W62)&gt;0,IF(INDEX([1]!Product_Pricing_Table[#Data],MATCH(CL$1,Products,0),2)="Cores",IF(HostBuild[Use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2" s="59">
        <f>IFERROR(IF(FIND(CM$1,$W62)&gt;0,IF(INDEX([1]!Product_Pricing_Table[#Data],MATCH(CM$1,Products,0),2)="Cores",IF(HostBuild[Use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2" s="59">
        <f>IFERROR(IF(FIND(CN$1,$W62)&gt;0,IF(INDEX([1]!Product_Pricing_Table[#Data],MATCH(CN$1,Products,0),2)="Cores",IF(HostBuild[Use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2" s="59">
        <f>IFERROR(IF(FIND(CO$1,$W62)&gt;0,IF(INDEX([1]!Product_Pricing_Table[#Data],MATCH(CO$1,Products,0),2)="Cores",IF(HostBuild[Use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2" s="59">
        <f>IFERROR(IF(FIND(CP$1,$W62)&gt;0,IF(INDEX([1]!Product_Pricing_Table[#Data],MATCH(CP$1,Products,0),2)="Cores",IF(HostBuild[Use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2" s="59">
        <f>IFERROR(IF(FIND(CQ$1,$W62)&gt;0,IF(INDEX([1]!Product_Pricing_Table[#Data],MATCH(CQ$1,Products,0),2)="Cores",IF(HostBuild[Use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2" s="59">
        <f>IFERROR(IF(FIND(CR$1,$W62)&gt;0,IF(INDEX([1]!Product_Pricing_Table[#Data],MATCH(CR$1,Products,0),2)="Cores",IF(HostBuild[Use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2" s="59">
        <f>IFERROR(IF(FIND(CS$1,$W62)&gt;0,IF(INDEX([1]!Product_Pricing_Table[#Data],MATCH(CS$1,Products,0),2)="Cores",IF(HostBuild[Use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2" s="59">
        <f>IFERROR(IF(FIND(CT$1,$W62)&gt;0,IF(INDEX([1]!Product_Pricing_Table[#Data],MATCH(CT$1,Products,0),2)="Cores",IF(HostBuild[Use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2" s="59">
        <f>IFERROR(IF(FIND(CU$1,$W62)&gt;0,IF(INDEX([1]!Product_Pricing_Table[#Data],MATCH(CU$1,Products,0),2)="Cores",IF(HostBuild[Use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2" s="59">
        <f>IFERROR(IF(FIND(CV$1,$W62)&gt;0,IF(INDEX([1]!Product_Pricing_Table[#Data],MATCH(CV$1,Products,0),2)="Cores",IF(HostBuild[Use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2" s="59">
        <f>IFERROR(IF(FIND(CW$1,$W62)&gt;0,IF(INDEX([1]!Product_Pricing_Table[#Data],MATCH(CW$1,Products,0),2)="Cores",IF(HostBuild[Use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2" s="59">
        <f>IFERROR(IF(FIND(CX$1,$W62)&gt;0,IF(INDEX([1]!Product_Pricing_Table[#Data],MATCH(CX$1,Products,0),2)="Cores",IF(HostBuild[Use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2" s="59">
        <f>IFERROR(IF(FIND(CY$1,$W62)&gt;0,IF(INDEX([1]!Product_Pricing_Table[#Data],MATCH(CY$1,Products,0),2)="Cores",IF(HostBuild[Use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2" s="59">
        <f>IFERROR(IF(FIND(CZ$1,$W62)&gt;0,IF(INDEX([1]!Product_Pricing_Table[#Data],MATCH(CZ$1,Products,0),2)="Cores",IF(HostBuild[Use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2" s="59">
        <f>IFERROR(IF(FIND(DA$1,$W62)&gt;0,IF(INDEX([1]!Product_Pricing_Table[#Data],MATCH(DA$1,Products,0),2)="Cores",IF(HostBuild[Use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2" s="59">
        <f>IFERROR(IF(FIND(DB$1,$W62)&gt;0,IF(INDEX([1]!Product_Pricing_Table[#Data],MATCH(DB$1,Products,0),2)="Cores",IF(HostBuild[Use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2" s="59">
        <f>IFERROR(IF(FIND(DC$1,$W62)&gt;0,IF(INDEX([1]!Product_Pricing_Table[#Data],MATCH(DC$1,Products,0),2)="Cores",IF(HostBuild[Use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2" s="59">
        <f>IFERROR(IF(FIND(DD$1,$W62)&gt;0,IF(INDEX([1]!Product_Pricing_Table[#Data],MATCH(DD$1,Products,0),2)="Cores",IF(HostBuild[Use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2" s="59">
        <f>IFERROR(IF(FIND(DE$1,$W62)&gt;0,IF(INDEX([1]!Product_Pricing_Table[#Data],MATCH(DE$1,Products,0),2)="Cores",IF(HostBuild[Use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2" s="60">
        <f>IFERROR(IF(FIND(DF$1,$W62)&gt;0,IF(INDEX([1]!Product_Pricing_Table[#Data],MATCH(DF$1,Products,0),2)="Cores",IF(HostBuild[Use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2" s="60">
        <f>IFERROR(IF(FIND(DG$1,$W62)&gt;0,IF(INDEX([1]!Product_Pricing_Table[#Data],MATCH(DG$1,Products,0),2)="Cores",IF(HostBuild[Use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2" s="59">
        <f>IFERROR(IF(FIND(DH$1,$W62)&gt;0,IF(INDEX([1]!Product_Pricing_Table[#Data],MATCH(DH$1,Products,0),2)="Cores",IF(HostBuild[Use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2" s="60">
        <f>IFERROR(IF(FIND(DI$1,$W62)&gt;0,IF(INDEX([1]!Product_Pricing_Table[#Data],MATCH(DI$1,Products,0),2)="Cores",IF(HostBuild[Use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2" s="59">
        <f>IFERROR(IF(FIND(DJ$1,$W62)&gt;0,IF(INDEX([1]!Product_Pricing_Table[#Data],MATCH(DJ$1,Products,0),2)="Cores",IF(HostBuild[Use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2" s="59">
        <f>IFERROR(IF(FIND(DK$1,$W62)&gt;0,IF(INDEX([1]!Product_Pricing_Table[#Data],MATCH(DK$1,Products,0),2)="Cores",IF(HostBuild[Use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2" s="59">
        <f>IFERROR(IF(FIND(DL$1,$W62)&gt;0,IF(INDEX([1]!Product_Pricing_Table[#Data],MATCH(DL$1,Products,0),2)="Cores",IF(HostBuild[Use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2" s="59">
        <f>IFERROR(IF(FIND(DM$1,$W62)&gt;0,IF(INDEX([1]!Product_Pricing_Table[#Data],MATCH(DM$1,Products,0),2)="Cores",IF(HostBuild[Use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2" s="59">
        <f>IFERROR(IF(FIND(DN$1,$W62)&gt;0,IF(INDEX([1]!Product_Pricing_Table[#Data],MATCH(DN$1,Products,0),2)="Cores",IF(HostBuild[Use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2" s="59">
        <f>IFERROR(IF(FIND(DO$1,$W62)&gt;0,IF(INDEX([1]!Product_Pricing_Table[#Data],MATCH(DO$1,Products,0),2)="Cores",IF(HostBuild[Use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2" s="59">
        <f>IFERROR(IF(FIND(DP$1,$W62)&gt;0,IF(INDEX([1]!Product_Pricing_Table[#Data],MATCH(DP$1,Products,0),2)="Cores",IF(HostBuild[Use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2" s="59">
        <f>IFERROR(IF(FIND(DQ$1,$W62)&gt;0,IF(INDEX([1]!Product_Pricing_Table[#Data],MATCH(DQ$1,Products,0),2)="Cores",IF(HostBuild[Use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2" s="59">
        <f>IFERROR(IF(FIND(DR$1,$W62)&gt;0,IF(INDEX([1]!Product_Pricing_Table[#Data],MATCH(DR$1,Products,0),2)="Cores",IF(HostBuild[Use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2" s="59">
        <f>IFERROR(IF(FIND(DS$1,$W62)&gt;0,IF(INDEX([1]!Product_Pricing_Table[#Data],MATCH(DS$1,Products,0),2)="Cores",IF(HostBuild[Use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2" s="59">
        <f>IFERROR(IF(FIND(DT$1,$W62)&gt;0,IF(INDEX([1]!Product_Pricing_Table[#Data],MATCH(DT$1,Products,0),2)="Cores",IF(HostBuild[Use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2" s="59">
        <f>IFERROR(IF(FIND(DU$1,$W62)&gt;0,IF(INDEX([1]!Product_Pricing_Table[#Data],MATCH(DU$1,Products,0),2)="Cores",IF(HostBuild[Use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2" s="59">
        <f>IFERROR(IF(FIND(DV$1,$W62)&gt;0,IF(INDEX([1]!Product_Pricing_Table[#Data],MATCH(DV$1,Products,0),2)="Cores",IF(HostBuild[Use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2" s="59">
        <f>IFERROR(IF(FIND(DW$1,$W62)&gt;0,IF(INDEX([1]!Product_Pricing_Table[#Data],MATCH(DW$1,Products,0),2)="Cores",IF(HostBuild[Use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2" s="59">
        <f>IFERROR(IF(FIND(DX$1,$W62)&gt;0,IF(INDEX([1]!Product_Pricing_Table[#Data],MATCH(DX$1,Products,0),2)="Cores",IF(HostBuild[Use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2" s="59">
        <f>IFERROR(IF(FIND(DY$1,$W62)&gt;0,IF(INDEX([1]!Product_Pricing_Table[#Data],MATCH(DY$1,Products,0),2)="Cores",IF(HostBuild[Use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2" s="59">
        <f>IFERROR(IF(FIND(DZ$1,$W62)&gt;0,IF(INDEX([1]!Product_Pricing_Table[#Data],MATCH(DZ$1,Products,0),2)="Cores",IF(HostBuild[Use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2" s="59">
        <f>IFERROR(IF(FIND(EA$1,$W62)&gt;0,IF(INDEX([1]!Product_Pricing_Table[#Data],MATCH(EA$1,Products,0),2)="Cores",IF(HostBuild[Use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2" s="59">
        <f>IFERROR(IF(FIND(EB$1,$W62)&gt;0,IF(INDEX([1]!Product_Pricing_Table[#Data],MATCH(EB$1,Products,0),2)="Cores",IF(HostBuild[Use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2" s="60">
        <f>IFERROR(IF(FIND(EC$1,$W62)&gt;0,IF(INDEX([1]!Product_Pricing_Table[#Data],MATCH(EC$1,Products,0),2)="Cores",IF(HostBuild[Use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2" s="59">
        <f>IFERROR(IF(FIND(ED$1,$W62)&gt;0,IF(INDEX([1]!Product_Pricing_Table[#Data],MATCH(ED$1,Products,0),2)="Cores",IF(HostBuild[Use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2" s="59">
        <f>IFERROR(IF(FIND(EE$1,$W62)&gt;0,IF(INDEX([1]!Product_Pricing_Table[#Data],MATCH(EE$1,Products,0),2)="Cores",IF(HostBuild[Use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2" s="59">
        <f>IFERROR(IF(FIND(EF$1,$W62)&gt;0,IF(INDEX([1]!Product_Pricing_Table[#Data],MATCH(EF$1,Products,0),2)="Cores",IF(HostBuild[Use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2" s="59">
        <f>IFERROR(IF(FIND(EG$1,$W62)&gt;0,IF(INDEX([1]!Product_Pricing_Table[#Data],MATCH(EG$1,Products,0),2)="Cores",IF(HostBuild[Use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2" s="59">
        <f>IFERROR(IF(FIND(EH$1,$W62)&gt;0,IF(INDEX([1]!Product_Pricing_Table[#Data],MATCH(EH$1,Products,0),2)="Cores",IF(HostBuild[Use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2" s="59">
        <f>IFERROR(IF(FIND(EI$1,$W62)&gt;0,IF(INDEX([1]!Product_Pricing_Table[#Data],MATCH(EI$1,Products,0),2)="Cores",IF(HostBuild[Use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2" s="59">
        <f>IFERROR(IF(FIND(EJ$1,$W62)&gt;0,IF(INDEX([1]!Product_Pricing_Table[#Data],MATCH(EJ$1,Products,0),2)="Cores",IF(HostBuild[Use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2" s="60">
        <f>IFERROR(IF(FIND(EK$1,$W62)&gt;0,IF(INDEX([1]!Product_Pricing_Table[#Data],MATCH(EK$1,Products,0),2)="Cores",IF(HostBuild[Use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2" s="61"/>
      <c r="EM62" s="62"/>
      <c r="EN62" s="63"/>
      <c r="EO62"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6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2" s="132">
        <f>(HostBuild[Archive
Full (GB)]+HostBuild[Archive
Incr (GB)])*Storage_DC_Dist_Tape_2014</f>
        <v>0</v>
      </c>
      <c r="ER62" s="132">
        <f>IF(ISNUMBER(HostBuild[Server HW Costs
(Monthly)]),SUM(HostBuild[[#This Row],[Server HW Costs
(Monthly)]:[Tape Costs
(Monthly)]]),0)</f>
        <v>1003.9</v>
      </c>
      <c r="ES62" s="65">
        <f>HostBuild[Software Costs
'[Year 1']
(Monthly)]+HostBuild[Total Hardware Costs
(Monthly)]</f>
        <v>1003.9</v>
      </c>
      <c r="ET62" s="65">
        <f>IFERROR(IF(FIND("Safenet",HostBuild[Server Model]),Safenet_PSE_PL600_Maint,0),0)+IFERROR(IF(FIND("XI52",HostBuild[Server Model]),IBM_DIA_XI52_Maint,0),0)+HostBuild[Software Costs
'[After Year 1']
(Monthly)]+HostBuild[Total Hardware Costs
(Monthly)]</f>
        <v>1003.9</v>
      </c>
      <c r="EU62" s="66">
        <f>SUM(HostBuild[[#This Row],[Server Cost Breakdown]:[Network Cost]])</f>
        <v>1003.9</v>
      </c>
      <c r="EV62" s="67">
        <f>IF(HostBuild[Existing Server?]="Yes - Inside this BoM",0,SUMIF(HostBuild[Alias],HostBuild[Alias],HostBuild[CPU])+SUMIF(HostBuild[Alias],HostBuild[Alias],HostBuild[Existing CPUs]))</f>
        <v>2</v>
      </c>
      <c r="EW62" s="67">
        <f>IF(HostBuild[Existing Server?]="Yes - Inside this BoM",0,SUMIF(HostBuild[Alias],HostBuild[Alias],HostBuild[Cores 
(Licensed Units)])+SUMIF(HostBuild[Alias],HostBuild[Alias],HostBuild[Existing Cores]))</f>
        <v>0</v>
      </c>
      <c r="EX62" s="67">
        <f>IF(HostBuild[Existing Server?]="Yes - Inside this BoM",0,SUMIF(HostBuild[Alias],HostBuild[Alias],HostBuild[RAM 
(GB)])+SUMIF(HostBuild[Alias],HostBuild[Alias],HostBuild[Existing RAM (GB)]))</f>
        <v>256</v>
      </c>
      <c r="EY6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2" s="66">
        <f>IF(ISBLANK(HostBuild[Server Model]),0,IF(HostBuild[Server Tier]="VMware",0,VLOOKUP(HostBuild[Server Tier],[1]!ServerTierRates[#Data],2,0))*HostBuild[CPU]*IF(AND(HostBuild[Server Type]="pSeries",HostBuild[Virtual Platform Storage Type]="Cloud-SAN"),0.25,1))</f>
        <v>608</v>
      </c>
      <c r="FD62" s="66">
        <f>0</f>
        <v>0</v>
      </c>
      <c r="FE62" s="66">
        <f>IF(HostBuild[Server Type]="VMware",HostBuild[RAM 
(GB)]*IF(ISERROR(FIND("DevCloud", HostBuild[Server Model])&gt;0),vRAM_per_vCPU_2014_Monthly,vRAM_per_vCPU_2014_Daily*30),0)</f>
        <v>0</v>
      </c>
      <c r="FF6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6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2" s="69">
        <f>IF(HostBuild[Server Tier]="VMware",0,IF(LEFT(HostBuild[Existing Server?],3)="Yes",0,IF(OR(HostBuild[Server Type]="Sun",HostBuild[Server Type]="pSeries"),Support_Direct_Server_Sun_per_OS_2014,IF(HostBuild[Server Type]="x86",Support_Direct_Server_x86_Wintel_per_OS_2014,0))))</f>
        <v>187.1</v>
      </c>
      <c r="FI6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3" spans="1:165" hidden="1">
      <c r="A63" s="122" t="s">
        <v>53</v>
      </c>
      <c r="B63" s="36"/>
      <c r="C63" s="36"/>
      <c r="D63" s="36"/>
      <c r="E63" s="37"/>
      <c r="F63" s="37"/>
      <c r="G63" s="103"/>
      <c r="H63" s="103"/>
      <c r="I63" s="38"/>
      <c r="J63" s="37"/>
      <c r="K63" s="37"/>
      <c r="L63" s="37"/>
      <c r="M63" s="103" t="e">
        <f ca="1">IF(rngIsDate(HostBuild[CTO Acceptance]),"Y","N")</f>
        <v>#NAME?</v>
      </c>
      <c r="N63" s="123" t="s">
        <v>3</v>
      </c>
      <c r="O63" s="39"/>
      <c r="P63" s="39"/>
      <c r="Q63" s="123" t="s">
        <v>52</v>
      </c>
      <c r="R63" s="126" t="str">
        <f>IF(NOT(ISBLANK(HostBuild[Env Label])),IFERROR(VLOOKUP(HostBuild[Env Label],[1]!tEnv[#Data],3,FALSE),""),"")</f>
        <v/>
      </c>
      <c r="S63" s="104"/>
      <c r="T63" s="40"/>
      <c r="U63" s="105"/>
      <c r="V63" s="123" t="s">
        <v>97</v>
      </c>
      <c r="W63" s="123" t="s">
        <v>98</v>
      </c>
      <c r="X63" s="123" t="s">
        <v>99</v>
      </c>
      <c r="Y63" s="123" t="s">
        <v>58</v>
      </c>
      <c r="Z63" s="126" t="str">
        <f>IF(NOT(ISBLANK(HostBuild[[#This Row],[Product 
(Acronym)]])),CONCATENATE(HostBuild[[#This Row],[Type]],"-",HostBuild[[#This Row],[Product 
(Acronym)]]),"")</f>
        <v>DB-ESB</v>
      </c>
      <c r="AA63" s="106"/>
      <c r="AB63" s="106" t="s">
        <v>59</v>
      </c>
      <c r="AC63" s="41"/>
      <c r="AD63" s="42"/>
      <c r="AE63" s="42"/>
      <c r="AF63" s="43"/>
      <c r="AG63" s="124"/>
      <c r="AH63" s="107"/>
      <c r="AI63" s="124" t="s">
        <v>146</v>
      </c>
      <c r="AJ63" s="123">
        <f>IF(COUNTIF(HostBuild[Alias],HostBuild[Alias]),1/COUNTIF(HostBuild[Alias],HostBuild[Alias]),0)</f>
        <v>1</v>
      </c>
      <c r="AK63" s="124"/>
      <c r="AL63" s="124"/>
      <c r="AM63" s="44" t="s">
        <v>101</v>
      </c>
      <c r="AN63" s="45" t="str">
        <f>IF(NOT(ISBLANK(HostBuild[Server Model])),VLOOKUP(HostBuild[Server Model],[1]!ServerModelsTier[#Data],2,FALSE),"")</f>
        <v>IBM P-Series Tier 2</v>
      </c>
      <c r="AO63" s="45" t="str">
        <f>IF(NOT(ISBLANK(HostBuild[Server Model])),VLOOKUP(HostBuild[Server Model],[1]!ServerModelsTier[#Data],5,FALSE),"")</f>
        <v>pSeries</v>
      </c>
      <c r="AP63" s="44"/>
      <c r="AQ63" s="44" t="s">
        <v>102</v>
      </c>
      <c r="AR63" s="47"/>
      <c r="AS63" s="108"/>
      <c r="AT63" s="47"/>
      <c r="AU63" s="109"/>
      <c r="AV63" s="48"/>
      <c r="AW63" s="124"/>
      <c r="AX63" s="124"/>
      <c r="AY63" s="124"/>
      <c r="AZ63" s="49"/>
      <c r="BA63" s="124"/>
      <c r="BB63" s="124"/>
      <c r="BC63" s="42"/>
      <c r="BD63" s="124"/>
      <c r="BE63" s="124"/>
      <c r="BF63" s="124"/>
      <c r="BG63" s="124"/>
      <c r="BH63" s="124"/>
      <c r="BI63" s="124"/>
      <c r="BJ63" s="124"/>
      <c r="BK63" s="133"/>
      <c r="BL63" s="127"/>
      <c r="BM63" s="129"/>
      <c r="BN63" s="128"/>
      <c r="BO63" s="129"/>
      <c r="BP63" s="130"/>
      <c r="BQ63" s="131"/>
      <c r="BR63" s="125" t="s">
        <v>64</v>
      </c>
      <c r="BS63" s="110">
        <f>IF(HostBuild[Existing Server?]&lt;&gt;"Yes - Inside this BoM",IF(ISNUMBER(HostBuild[RAM 
(GB)]),IF(HostBuild[Existing RAM (GB)]+HostBuild[RAM 
(GB)]&gt;0,IF(HostBuild[Virtual Platform Storage Type]="NAS",110+HostBuild[Existing RAM (GB)]+HostBuild[RAM 
(GB)]*1.75,0),0),0),0)</f>
        <v>0</v>
      </c>
      <c r="BT63" s="111"/>
      <c r="BU63" s="112">
        <f>IF(ISNUMBER(HostBuild[Recommended NAS (GB)]),HostBuild[Recommended NAS (GB)])+HostBuild[Additional NAS (GB)]</f>
        <v>0</v>
      </c>
      <c r="BV63" s="50"/>
      <c r="BW63" s="50"/>
      <c r="BX63" s="133">
        <f>IFERROR((HostBuild[SAN (GB)
End-State
DO NOT USE TO BUILD]+HostBuild[SAN (GB) Shared])*25%,"")</f>
        <v>0</v>
      </c>
      <c r="BY63" s="113">
        <f>IFERROR(HostBuild[Archive
Full (GB)]*15%,"")</f>
        <v>0</v>
      </c>
      <c r="BZ63" s="51"/>
      <c r="CA63" s="51"/>
      <c r="CB63" s="52"/>
      <c r="CC63" s="53"/>
      <c r="CD63" s="52"/>
      <c r="CE63" s="54"/>
      <c r="CF63" s="128"/>
      <c r="CG63" s="114"/>
      <c r="CH63" s="55"/>
      <c r="CI63" s="56"/>
      <c r="CJ63" s="57"/>
      <c r="CK63" s="58"/>
      <c r="CL63" s="59">
        <f>IFERROR(IF(FIND(CL$1,$W63)&gt;0,IF(INDEX([1]!Product_Pricing_Table[#Data],MATCH(CL$1,Products,0),2)="Cores",IF(HostBuild[Use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3" s="59">
        <f>IFERROR(IF(FIND(CM$1,$W63)&gt;0,IF(INDEX([1]!Product_Pricing_Table[#Data],MATCH(CM$1,Products,0),2)="Cores",IF(HostBuild[Use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3" s="59">
        <f>IFERROR(IF(FIND(CN$1,$W63)&gt;0,IF(INDEX([1]!Product_Pricing_Table[#Data],MATCH(CN$1,Products,0),2)="Cores",IF(HostBuild[Use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3" s="59">
        <f>IFERROR(IF(FIND(CO$1,$W63)&gt;0,IF(INDEX([1]!Product_Pricing_Table[#Data],MATCH(CO$1,Products,0),2)="Cores",IF(HostBuild[Use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3" s="59">
        <f>IFERROR(IF(FIND(CP$1,$W63)&gt;0,IF(INDEX([1]!Product_Pricing_Table[#Data],MATCH(CP$1,Products,0),2)="Cores",IF(HostBuild[Use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3" s="59">
        <f>IFERROR(IF(FIND(CQ$1,$W63)&gt;0,IF(INDEX([1]!Product_Pricing_Table[#Data],MATCH(CQ$1,Products,0),2)="Cores",IF(HostBuild[Use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3" s="59">
        <f>IFERROR(IF(FIND(CR$1,$W63)&gt;0,IF(INDEX([1]!Product_Pricing_Table[#Data],MATCH(CR$1,Products,0),2)="Cores",IF(HostBuild[Use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3" s="59">
        <f>IFERROR(IF(FIND(CS$1,$W63)&gt;0,IF(INDEX([1]!Product_Pricing_Table[#Data],MATCH(CS$1,Products,0),2)="Cores",IF(HostBuild[Use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3" s="59">
        <f>IFERROR(IF(FIND(CT$1,$W63)&gt;0,IF(INDEX([1]!Product_Pricing_Table[#Data],MATCH(CT$1,Products,0),2)="Cores",IF(HostBuild[Use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3" s="59">
        <f>IFERROR(IF(FIND(CU$1,$W63)&gt;0,IF(INDEX([1]!Product_Pricing_Table[#Data],MATCH(CU$1,Products,0),2)="Cores",IF(HostBuild[Use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3" s="59">
        <f>IFERROR(IF(FIND(CV$1,$W63)&gt;0,IF(INDEX([1]!Product_Pricing_Table[#Data],MATCH(CV$1,Products,0),2)="Cores",IF(HostBuild[Use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3" s="59">
        <f>IFERROR(IF(FIND(CW$1,$W63)&gt;0,IF(INDEX([1]!Product_Pricing_Table[#Data],MATCH(CW$1,Products,0),2)="Cores",IF(HostBuild[Use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3" s="59">
        <f>IFERROR(IF(FIND(CX$1,$W63)&gt;0,IF(INDEX([1]!Product_Pricing_Table[#Data],MATCH(CX$1,Products,0),2)="Cores",IF(HostBuild[Use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3" s="59">
        <f>IFERROR(IF(FIND(CY$1,$W63)&gt;0,IF(INDEX([1]!Product_Pricing_Table[#Data],MATCH(CY$1,Products,0),2)="Cores",IF(HostBuild[Use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3" s="59">
        <f>IFERROR(IF(FIND(CZ$1,$W63)&gt;0,IF(INDEX([1]!Product_Pricing_Table[#Data],MATCH(CZ$1,Products,0),2)="Cores",IF(HostBuild[Use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3" s="59">
        <f>IFERROR(IF(FIND(DA$1,$W63)&gt;0,IF(INDEX([1]!Product_Pricing_Table[#Data],MATCH(DA$1,Products,0),2)="Cores",IF(HostBuild[Use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3" s="59">
        <f>IFERROR(IF(FIND(DB$1,$W63)&gt;0,IF(INDEX([1]!Product_Pricing_Table[#Data],MATCH(DB$1,Products,0),2)="Cores",IF(HostBuild[Use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3" s="59">
        <f>IFERROR(IF(FIND(DC$1,$W63)&gt;0,IF(INDEX([1]!Product_Pricing_Table[#Data],MATCH(DC$1,Products,0),2)="Cores",IF(HostBuild[Use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3" s="59">
        <f>IFERROR(IF(FIND(DD$1,$W63)&gt;0,IF(INDEX([1]!Product_Pricing_Table[#Data],MATCH(DD$1,Products,0),2)="Cores",IF(HostBuild[Use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3" s="59">
        <f>IFERROR(IF(FIND(DE$1,$W63)&gt;0,IF(INDEX([1]!Product_Pricing_Table[#Data],MATCH(DE$1,Products,0),2)="Cores",IF(HostBuild[Use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3" s="60">
        <f>IFERROR(IF(FIND(DF$1,$W63)&gt;0,IF(INDEX([1]!Product_Pricing_Table[#Data],MATCH(DF$1,Products,0),2)="Cores",IF(HostBuild[Use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3" s="60">
        <f>IFERROR(IF(FIND(DG$1,$W63)&gt;0,IF(INDEX([1]!Product_Pricing_Table[#Data],MATCH(DG$1,Products,0),2)="Cores",IF(HostBuild[Use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3" s="59">
        <f>IFERROR(IF(FIND(DH$1,$W63)&gt;0,IF(INDEX([1]!Product_Pricing_Table[#Data],MATCH(DH$1,Products,0),2)="Cores",IF(HostBuild[Use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3" s="60">
        <f>IFERROR(IF(FIND(DI$1,$W63)&gt;0,IF(INDEX([1]!Product_Pricing_Table[#Data],MATCH(DI$1,Products,0),2)="Cores",IF(HostBuild[Use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3" s="59">
        <f>IFERROR(IF(FIND(DJ$1,$W63)&gt;0,IF(INDEX([1]!Product_Pricing_Table[#Data],MATCH(DJ$1,Products,0),2)="Cores",IF(HostBuild[Use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3" s="59">
        <f>IFERROR(IF(FIND(DK$1,$W63)&gt;0,IF(INDEX([1]!Product_Pricing_Table[#Data],MATCH(DK$1,Products,0),2)="Cores",IF(HostBuild[Use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3" s="59">
        <f>IFERROR(IF(FIND(DL$1,$W63)&gt;0,IF(INDEX([1]!Product_Pricing_Table[#Data],MATCH(DL$1,Products,0),2)="Cores",IF(HostBuild[Use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3" s="59">
        <f>IFERROR(IF(FIND(DM$1,$W63)&gt;0,IF(INDEX([1]!Product_Pricing_Table[#Data],MATCH(DM$1,Products,0),2)="Cores",IF(HostBuild[Use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3" s="59">
        <f>IFERROR(IF(FIND(DN$1,$W63)&gt;0,IF(INDEX([1]!Product_Pricing_Table[#Data],MATCH(DN$1,Products,0),2)="Cores",IF(HostBuild[Use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3" s="59">
        <f>IFERROR(IF(FIND(DO$1,$W63)&gt;0,IF(INDEX([1]!Product_Pricing_Table[#Data],MATCH(DO$1,Products,0),2)="Cores",IF(HostBuild[Use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3" s="59">
        <f>IFERROR(IF(FIND(DP$1,$W63)&gt;0,IF(INDEX([1]!Product_Pricing_Table[#Data],MATCH(DP$1,Products,0),2)="Cores",IF(HostBuild[Use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3" s="59">
        <f>IFERROR(IF(FIND(DQ$1,$W63)&gt;0,IF(INDEX([1]!Product_Pricing_Table[#Data],MATCH(DQ$1,Products,0),2)="Cores",IF(HostBuild[Use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3" s="59">
        <f>IFERROR(IF(FIND(DR$1,$W63)&gt;0,IF(INDEX([1]!Product_Pricing_Table[#Data],MATCH(DR$1,Products,0),2)="Cores",IF(HostBuild[Use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3" s="59">
        <f>IFERROR(IF(FIND(DS$1,$W63)&gt;0,IF(INDEX([1]!Product_Pricing_Table[#Data],MATCH(DS$1,Products,0),2)="Cores",IF(HostBuild[Use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3" s="59">
        <f>IFERROR(IF(FIND(DT$1,$W63)&gt;0,IF(INDEX([1]!Product_Pricing_Table[#Data],MATCH(DT$1,Products,0),2)="Cores",IF(HostBuild[Use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3" s="59">
        <f>IFERROR(IF(FIND(DU$1,$W63)&gt;0,IF(INDEX([1]!Product_Pricing_Table[#Data],MATCH(DU$1,Products,0),2)="Cores",IF(HostBuild[Use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3" s="59">
        <f>IFERROR(IF(FIND(DV$1,$W63)&gt;0,IF(INDEX([1]!Product_Pricing_Table[#Data],MATCH(DV$1,Products,0),2)="Cores",IF(HostBuild[Use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3" s="59">
        <f>IFERROR(IF(FIND(DW$1,$W63)&gt;0,IF(INDEX([1]!Product_Pricing_Table[#Data],MATCH(DW$1,Products,0),2)="Cores",IF(HostBuild[Use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3" s="59">
        <f>IFERROR(IF(FIND(DX$1,$W63)&gt;0,IF(INDEX([1]!Product_Pricing_Table[#Data],MATCH(DX$1,Products,0),2)="Cores",IF(HostBuild[Use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3" s="59">
        <f>IFERROR(IF(FIND(DY$1,$W63)&gt;0,IF(INDEX([1]!Product_Pricing_Table[#Data],MATCH(DY$1,Products,0),2)="Cores",IF(HostBuild[Use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3" s="59">
        <f>IFERROR(IF(FIND(DZ$1,$W63)&gt;0,IF(INDEX([1]!Product_Pricing_Table[#Data],MATCH(DZ$1,Products,0),2)="Cores",IF(HostBuild[Use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3" s="59">
        <f>IFERROR(IF(FIND(EA$1,$W63)&gt;0,IF(INDEX([1]!Product_Pricing_Table[#Data],MATCH(EA$1,Products,0),2)="Cores",IF(HostBuild[Use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3" s="59">
        <f>IFERROR(IF(FIND(EB$1,$W63)&gt;0,IF(INDEX([1]!Product_Pricing_Table[#Data],MATCH(EB$1,Products,0),2)="Cores",IF(HostBuild[Use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3" s="60">
        <f>IFERROR(IF(FIND(EC$1,$W63)&gt;0,IF(INDEX([1]!Product_Pricing_Table[#Data],MATCH(EC$1,Products,0),2)="Cores",IF(HostBuild[Use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3" s="59">
        <f>IFERROR(IF(FIND(ED$1,$W63)&gt;0,IF(INDEX([1]!Product_Pricing_Table[#Data],MATCH(ED$1,Products,0),2)="Cores",IF(HostBuild[Use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3" s="59">
        <f>IFERROR(IF(FIND(EE$1,$W63)&gt;0,IF(INDEX([1]!Product_Pricing_Table[#Data],MATCH(EE$1,Products,0),2)="Cores",IF(HostBuild[Use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3" s="59">
        <f>IFERROR(IF(FIND(EF$1,$W63)&gt;0,IF(INDEX([1]!Product_Pricing_Table[#Data],MATCH(EF$1,Products,0),2)="Cores",IF(HostBuild[Use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3" s="59">
        <f>IFERROR(IF(FIND(EG$1,$W63)&gt;0,IF(INDEX([1]!Product_Pricing_Table[#Data],MATCH(EG$1,Products,0),2)="Cores",IF(HostBuild[Use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3" s="59">
        <f>IFERROR(IF(FIND(EH$1,$W63)&gt;0,IF(INDEX([1]!Product_Pricing_Table[#Data],MATCH(EH$1,Products,0),2)="Cores",IF(HostBuild[Use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3" s="59">
        <f>IFERROR(IF(FIND(EI$1,$W63)&gt;0,IF(INDEX([1]!Product_Pricing_Table[#Data],MATCH(EI$1,Products,0),2)="Cores",IF(HostBuild[Use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3" s="59">
        <f>IFERROR(IF(FIND(EJ$1,$W63)&gt;0,IF(INDEX([1]!Product_Pricing_Table[#Data],MATCH(EJ$1,Products,0),2)="Cores",IF(HostBuild[Use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3" s="60">
        <f>IFERROR(IF(FIND(EK$1,$W63)&gt;0,IF(INDEX([1]!Product_Pricing_Table[#Data],MATCH(EK$1,Products,0),2)="Cores",IF(HostBuild[Use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3" s="61"/>
      <c r="EM63" s="62"/>
      <c r="EN63" s="63"/>
      <c r="EO63"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6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3" s="132">
        <f>(HostBuild[Archive
Full (GB)]+HostBuild[Archive
Incr (GB)])*Storage_DC_Dist_Tape_2014</f>
        <v>0</v>
      </c>
      <c r="ER63" s="132">
        <f>IF(ISNUMBER(HostBuild[Server HW Costs
(Monthly)]),SUM(HostBuild[[#This Row],[Server HW Costs
(Monthly)]:[Tape Costs
(Monthly)]]),0)</f>
        <v>0</v>
      </c>
      <c r="ES63" s="65">
        <f>HostBuild[Software Costs
'[Year 1']
(Monthly)]+HostBuild[Total Hardware Costs
(Monthly)]</f>
        <v>0</v>
      </c>
      <c r="ET63" s="65">
        <f>IFERROR(IF(FIND("Safenet",HostBuild[Server Model]),Safenet_PSE_PL600_Maint,0),0)+IFERROR(IF(FIND("XI52",HostBuild[Server Model]),IBM_DIA_XI52_Maint,0),0)+HostBuild[Software Costs
'[After Year 1']
(Monthly)]+HostBuild[Total Hardware Costs
(Monthly)]</f>
        <v>0</v>
      </c>
      <c r="EU63" s="66">
        <f>SUM(HostBuild[[#This Row],[Server Cost Breakdown]:[Network Cost]])</f>
        <v>0</v>
      </c>
      <c r="EV63" s="67">
        <f>IF(HostBuild[Existing Server?]="Yes - Inside this BoM",0,SUMIF(HostBuild[Alias],HostBuild[Alias],HostBuild[CPU])+SUMIF(HostBuild[Alias],HostBuild[Alias],HostBuild[Existing CPUs]))</f>
        <v>0</v>
      </c>
      <c r="EW63" s="67">
        <f>IF(HostBuild[Existing Server?]="Yes - Inside this BoM",0,SUMIF(HostBuild[Alias],HostBuild[Alias],HostBuild[Cores 
(Licensed Units)])+SUMIF(HostBuild[Alias],HostBuild[Alias],HostBuild[Existing Cores]))</f>
        <v>0</v>
      </c>
      <c r="EX63" s="67">
        <f>IF(HostBuild[Existing Server?]="Yes - Inside this BoM",0,SUMIF(HostBuild[Alias],HostBuild[Alias],HostBuild[RAM 
(GB)])+SUMIF(HostBuild[Alias],HostBuild[Alias],HostBuild[Existing RAM (GB)]))</f>
        <v>0</v>
      </c>
      <c r="EY6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3" s="66">
        <f>IF(ISBLANK(HostBuild[Server Model]),0,IF(HostBuild[Server Tier]="VMware",0,VLOOKUP(HostBuild[Server Tier],[1]!ServerTierRates[#Data],2,0))*HostBuild[CPU]*IF(AND(HostBuild[Server Type]="pSeries",HostBuild[Virtual Platform Storage Type]="Cloud-SAN"),0.25,1))</f>
        <v>0</v>
      </c>
      <c r="FD63" s="66">
        <f>0</f>
        <v>0</v>
      </c>
      <c r="FE63" s="66">
        <f>IF(HostBuild[Server Type]="VMware",HostBuild[RAM 
(GB)]*IF(ISERROR(FIND("DevCloud", HostBuild[Server Model])&gt;0),vRAM_per_vCPU_2014_Monthly,vRAM_per_vCPU_2014_Daily*30),0)</f>
        <v>0</v>
      </c>
      <c r="FF6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3" s="69">
        <f>IF(HostBuild[Server Tier]="VMware",0,IF(LEFT(HostBuild[Existing Server?],3)="Yes",0,IF(OR(HostBuild[Server Type]="Sun",HostBuild[Server Type]="pSeries"),Support_Direct_Server_Sun_per_OS_2014,IF(HostBuild[Server Type]="x86",Support_Direct_Server_x86_Wintel_per_OS_2014,0))))</f>
        <v>0</v>
      </c>
      <c r="FI6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4" spans="1:165" hidden="1">
      <c r="A64" s="122" t="s">
        <v>53</v>
      </c>
      <c r="B64" s="36"/>
      <c r="C64" s="36"/>
      <c r="D64" s="36"/>
      <c r="E64" s="37"/>
      <c r="F64" s="37"/>
      <c r="G64" s="103"/>
      <c r="H64" s="103"/>
      <c r="I64" s="38"/>
      <c r="J64" s="37"/>
      <c r="K64" s="37"/>
      <c r="L64" s="37"/>
      <c r="M64" s="103" t="e">
        <f ca="1">IF(rngIsDate(HostBuild[CTO Acceptance]),"Y","N")</f>
        <v>#NAME?</v>
      </c>
      <c r="N64" s="123" t="s">
        <v>3</v>
      </c>
      <c r="O64" s="39"/>
      <c r="P64" s="39"/>
      <c r="Q64" s="123" t="s">
        <v>52</v>
      </c>
      <c r="R64" s="126" t="str">
        <f>IF(NOT(ISBLANK(HostBuild[Env Label])),IFERROR(VLOOKUP(HostBuild[Env Label],[1]!tEnv[#Data],3,FALSE),""),"")</f>
        <v/>
      </c>
      <c r="S64" s="104"/>
      <c r="T64" s="40"/>
      <c r="U64" s="105"/>
      <c r="V64" s="123" t="s">
        <v>97</v>
      </c>
      <c r="W64" s="123" t="s">
        <v>98</v>
      </c>
      <c r="X64" s="123" t="s">
        <v>99</v>
      </c>
      <c r="Y64" s="123" t="s">
        <v>58</v>
      </c>
      <c r="Z64" s="126" t="str">
        <f>IF(NOT(ISBLANK(HostBuild[[#This Row],[Product 
(Acronym)]])),CONCATENATE(HostBuild[[#This Row],[Type]],"-",HostBuild[[#This Row],[Product 
(Acronym)]]),"")</f>
        <v>DB-ESB</v>
      </c>
      <c r="AA64" s="106"/>
      <c r="AB64" s="106" t="s">
        <v>59</v>
      </c>
      <c r="AC64" s="41"/>
      <c r="AD64" s="42"/>
      <c r="AE64" s="42"/>
      <c r="AF64" s="43"/>
      <c r="AG64" s="124"/>
      <c r="AH64" s="107"/>
      <c r="AI64" s="124" t="s">
        <v>147</v>
      </c>
      <c r="AJ64" s="123">
        <f>IF(COUNTIF(HostBuild[Alias],HostBuild[Alias]),1/COUNTIF(HostBuild[Alias],HostBuild[Alias]),0)</f>
        <v>1</v>
      </c>
      <c r="AK64" s="124"/>
      <c r="AL64" s="124"/>
      <c r="AM64" s="44" t="s">
        <v>101</v>
      </c>
      <c r="AN64" s="45" t="str">
        <f>IF(NOT(ISBLANK(HostBuild[Server Model])),VLOOKUP(HostBuild[Server Model],[1]!ServerModelsTier[#Data],2,FALSE),"")</f>
        <v>IBM P-Series Tier 2</v>
      </c>
      <c r="AO64" s="45" t="str">
        <f>IF(NOT(ISBLANK(HostBuild[Server Model])),VLOOKUP(HostBuild[Server Model],[1]!ServerModelsTier[#Data],5,FALSE),"")</f>
        <v>pSeries</v>
      </c>
      <c r="AP64" s="44"/>
      <c r="AQ64" s="44" t="s">
        <v>102</v>
      </c>
      <c r="AR64" s="47"/>
      <c r="AS64" s="108"/>
      <c r="AT64" s="47"/>
      <c r="AU64" s="109"/>
      <c r="AV64" s="48"/>
      <c r="AW64" s="124"/>
      <c r="AX64" s="124"/>
      <c r="AY64" s="124"/>
      <c r="AZ64" s="49"/>
      <c r="BA64" s="124"/>
      <c r="BB64" s="124"/>
      <c r="BC64" s="42"/>
      <c r="BD64" s="124"/>
      <c r="BE64" s="124"/>
      <c r="BF64" s="124"/>
      <c r="BG64" s="124"/>
      <c r="BH64" s="124"/>
      <c r="BI64" s="124"/>
      <c r="BJ64" s="124"/>
      <c r="BK64" s="133"/>
      <c r="BL64" s="127"/>
      <c r="BM64" s="129"/>
      <c r="BN64" s="128"/>
      <c r="BO64" s="129"/>
      <c r="BP64" s="130"/>
      <c r="BQ64" s="131"/>
      <c r="BR64" s="125" t="s">
        <v>64</v>
      </c>
      <c r="BS64" s="110">
        <f>IF(HostBuild[Existing Server?]&lt;&gt;"Yes - Inside this BoM",IF(ISNUMBER(HostBuild[RAM 
(GB)]),IF(HostBuild[Existing RAM (GB)]+HostBuild[RAM 
(GB)]&gt;0,IF(HostBuild[Virtual Platform Storage Type]="NAS",110+HostBuild[Existing RAM (GB)]+HostBuild[RAM 
(GB)]*1.75,0),0),0),0)</f>
        <v>0</v>
      </c>
      <c r="BT64" s="111"/>
      <c r="BU64" s="112">
        <f>IF(ISNUMBER(HostBuild[Recommended NAS (GB)]),HostBuild[Recommended NAS (GB)])+HostBuild[Additional NAS (GB)]</f>
        <v>0</v>
      </c>
      <c r="BV64" s="50"/>
      <c r="BW64" s="50"/>
      <c r="BX64" s="133">
        <f>IFERROR((HostBuild[SAN (GB)
End-State
DO NOT USE TO BUILD]+HostBuild[SAN (GB) Shared])*25%,"")</f>
        <v>0</v>
      </c>
      <c r="BY64" s="113">
        <f>IFERROR(HostBuild[Archive
Full (GB)]*15%,"")</f>
        <v>0</v>
      </c>
      <c r="BZ64" s="51"/>
      <c r="CA64" s="51"/>
      <c r="CB64" s="52"/>
      <c r="CC64" s="53"/>
      <c r="CD64" s="52"/>
      <c r="CE64" s="54"/>
      <c r="CF64" s="128"/>
      <c r="CG64" s="114"/>
      <c r="CH64" s="55"/>
      <c r="CI64" s="56"/>
      <c r="CJ64" s="57"/>
      <c r="CK64" s="58"/>
      <c r="CL64" s="59">
        <f>IFERROR(IF(FIND(CL$1,$W64)&gt;0,IF(INDEX([1]!Product_Pricing_Table[#Data],MATCH(CL$1,Products,0),2)="Cores",IF(HostBuild[Use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4" s="59">
        <f>IFERROR(IF(FIND(CM$1,$W64)&gt;0,IF(INDEX([1]!Product_Pricing_Table[#Data],MATCH(CM$1,Products,0),2)="Cores",IF(HostBuild[Use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4" s="59">
        <f>IFERROR(IF(FIND(CN$1,$W64)&gt;0,IF(INDEX([1]!Product_Pricing_Table[#Data],MATCH(CN$1,Products,0),2)="Cores",IF(HostBuild[Use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4" s="59">
        <f>IFERROR(IF(FIND(CO$1,$W64)&gt;0,IF(INDEX([1]!Product_Pricing_Table[#Data],MATCH(CO$1,Products,0),2)="Cores",IF(HostBuild[Use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4" s="59">
        <f>IFERROR(IF(FIND(CP$1,$W64)&gt;0,IF(INDEX([1]!Product_Pricing_Table[#Data],MATCH(CP$1,Products,0),2)="Cores",IF(HostBuild[Use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4" s="59">
        <f>IFERROR(IF(FIND(CQ$1,$W64)&gt;0,IF(INDEX([1]!Product_Pricing_Table[#Data],MATCH(CQ$1,Products,0),2)="Cores",IF(HostBuild[Use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4" s="59">
        <f>IFERROR(IF(FIND(CR$1,$W64)&gt;0,IF(INDEX([1]!Product_Pricing_Table[#Data],MATCH(CR$1,Products,0),2)="Cores",IF(HostBuild[Use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4" s="59">
        <f>IFERROR(IF(FIND(CS$1,$W64)&gt;0,IF(INDEX([1]!Product_Pricing_Table[#Data],MATCH(CS$1,Products,0),2)="Cores",IF(HostBuild[Use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4" s="59">
        <f>IFERROR(IF(FIND(CT$1,$W64)&gt;0,IF(INDEX([1]!Product_Pricing_Table[#Data],MATCH(CT$1,Products,0),2)="Cores",IF(HostBuild[Use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4" s="59">
        <f>IFERROR(IF(FIND(CU$1,$W64)&gt;0,IF(INDEX([1]!Product_Pricing_Table[#Data],MATCH(CU$1,Products,0),2)="Cores",IF(HostBuild[Use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4" s="59">
        <f>IFERROR(IF(FIND(CV$1,$W64)&gt;0,IF(INDEX([1]!Product_Pricing_Table[#Data],MATCH(CV$1,Products,0),2)="Cores",IF(HostBuild[Use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4" s="59">
        <f>IFERROR(IF(FIND(CW$1,$W64)&gt;0,IF(INDEX([1]!Product_Pricing_Table[#Data],MATCH(CW$1,Products,0),2)="Cores",IF(HostBuild[Use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4" s="59">
        <f>IFERROR(IF(FIND(CX$1,$W64)&gt;0,IF(INDEX([1]!Product_Pricing_Table[#Data],MATCH(CX$1,Products,0),2)="Cores",IF(HostBuild[Use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4" s="59">
        <f>IFERROR(IF(FIND(CY$1,$W64)&gt;0,IF(INDEX([1]!Product_Pricing_Table[#Data],MATCH(CY$1,Products,0),2)="Cores",IF(HostBuild[Use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4" s="59">
        <f>IFERROR(IF(FIND(CZ$1,$W64)&gt;0,IF(INDEX([1]!Product_Pricing_Table[#Data],MATCH(CZ$1,Products,0),2)="Cores",IF(HostBuild[Use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4" s="59">
        <f>IFERROR(IF(FIND(DA$1,$W64)&gt;0,IF(INDEX([1]!Product_Pricing_Table[#Data],MATCH(DA$1,Products,0),2)="Cores",IF(HostBuild[Use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4" s="59">
        <f>IFERROR(IF(FIND(DB$1,$W64)&gt;0,IF(INDEX([1]!Product_Pricing_Table[#Data],MATCH(DB$1,Products,0),2)="Cores",IF(HostBuild[Use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4" s="59">
        <f>IFERROR(IF(FIND(DC$1,$W64)&gt;0,IF(INDEX([1]!Product_Pricing_Table[#Data],MATCH(DC$1,Products,0),2)="Cores",IF(HostBuild[Use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4" s="59">
        <f>IFERROR(IF(FIND(DD$1,$W64)&gt;0,IF(INDEX([1]!Product_Pricing_Table[#Data],MATCH(DD$1,Products,0),2)="Cores",IF(HostBuild[Use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4" s="59">
        <f>IFERROR(IF(FIND(DE$1,$W64)&gt;0,IF(INDEX([1]!Product_Pricing_Table[#Data],MATCH(DE$1,Products,0),2)="Cores",IF(HostBuild[Use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4" s="60">
        <f>IFERROR(IF(FIND(DF$1,$W64)&gt;0,IF(INDEX([1]!Product_Pricing_Table[#Data],MATCH(DF$1,Products,0),2)="Cores",IF(HostBuild[Use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4" s="60">
        <f>IFERROR(IF(FIND(DG$1,$W64)&gt;0,IF(INDEX([1]!Product_Pricing_Table[#Data],MATCH(DG$1,Products,0),2)="Cores",IF(HostBuild[Use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4" s="59">
        <f>IFERROR(IF(FIND(DH$1,$W64)&gt;0,IF(INDEX([1]!Product_Pricing_Table[#Data],MATCH(DH$1,Products,0),2)="Cores",IF(HostBuild[Use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4" s="60">
        <f>IFERROR(IF(FIND(DI$1,$W64)&gt;0,IF(INDEX([1]!Product_Pricing_Table[#Data],MATCH(DI$1,Products,0),2)="Cores",IF(HostBuild[Use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4" s="59">
        <f>IFERROR(IF(FIND(DJ$1,$W64)&gt;0,IF(INDEX([1]!Product_Pricing_Table[#Data],MATCH(DJ$1,Products,0),2)="Cores",IF(HostBuild[Use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4" s="59">
        <f>IFERROR(IF(FIND(DK$1,$W64)&gt;0,IF(INDEX([1]!Product_Pricing_Table[#Data],MATCH(DK$1,Products,0),2)="Cores",IF(HostBuild[Use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4" s="59">
        <f>IFERROR(IF(FIND(DL$1,$W64)&gt;0,IF(INDEX([1]!Product_Pricing_Table[#Data],MATCH(DL$1,Products,0),2)="Cores",IF(HostBuild[Use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4" s="59">
        <f>IFERROR(IF(FIND(DM$1,$W64)&gt;0,IF(INDEX([1]!Product_Pricing_Table[#Data],MATCH(DM$1,Products,0),2)="Cores",IF(HostBuild[Use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4" s="59">
        <f>IFERROR(IF(FIND(DN$1,$W64)&gt;0,IF(INDEX([1]!Product_Pricing_Table[#Data],MATCH(DN$1,Products,0),2)="Cores",IF(HostBuild[Use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4" s="59">
        <f>IFERROR(IF(FIND(DO$1,$W64)&gt;0,IF(INDEX([1]!Product_Pricing_Table[#Data],MATCH(DO$1,Products,0),2)="Cores",IF(HostBuild[Use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4" s="59">
        <f>IFERROR(IF(FIND(DP$1,$W64)&gt;0,IF(INDEX([1]!Product_Pricing_Table[#Data],MATCH(DP$1,Products,0),2)="Cores",IF(HostBuild[Use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4" s="59">
        <f>IFERROR(IF(FIND(DQ$1,$W64)&gt;0,IF(INDEX([1]!Product_Pricing_Table[#Data],MATCH(DQ$1,Products,0),2)="Cores",IF(HostBuild[Use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4" s="59">
        <f>IFERROR(IF(FIND(DR$1,$W64)&gt;0,IF(INDEX([1]!Product_Pricing_Table[#Data],MATCH(DR$1,Products,0),2)="Cores",IF(HostBuild[Use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4" s="59">
        <f>IFERROR(IF(FIND(DS$1,$W64)&gt;0,IF(INDEX([1]!Product_Pricing_Table[#Data],MATCH(DS$1,Products,0),2)="Cores",IF(HostBuild[Use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4" s="59">
        <f>IFERROR(IF(FIND(DT$1,$W64)&gt;0,IF(INDEX([1]!Product_Pricing_Table[#Data],MATCH(DT$1,Products,0),2)="Cores",IF(HostBuild[Use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4" s="59">
        <f>IFERROR(IF(FIND(DU$1,$W64)&gt;0,IF(INDEX([1]!Product_Pricing_Table[#Data],MATCH(DU$1,Products,0),2)="Cores",IF(HostBuild[Use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4" s="59">
        <f>IFERROR(IF(FIND(DV$1,$W64)&gt;0,IF(INDEX([1]!Product_Pricing_Table[#Data],MATCH(DV$1,Products,0),2)="Cores",IF(HostBuild[Use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4" s="59">
        <f>IFERROR(IF(FIND(DW$1,$W64)&gt;0,IF(INDEX([1]!Product_Pricing_Table[#Data],MATCH(DW$1,Products,0),2)="Cores",IF(HostBuild[Use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4" s="59">
        <f>IFERROR(IF(FIND(DX$1,$W64)&gt;0,IF(INDEX([1]!Product_Pricing_Table[#Data],MATCH(DX$1,Products,0),2)="Cores",IF(HostBuild[Use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4" s="59">
        <f>IFERROR(IF(FIND(DY$1,$W64)&gt;0,IF(INDEX([1]!Product_Pricing_Table[#Data],MATCH(DY$1,Products,0),2)="Cores",IF(HostBuild[Use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4" s="59">
        <f>IFERROR(IF(FIND(DZ$1,$W64)&gt;0,IF(INDEX([1]!Product_Pricing_Table[#Data],MATCH(DZ$1,Products,0),2)="Cores",IF(HostBuild[Use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4" s="59">
        <f>IFERROR(IF(FIND(EA$1,$W64)&gt;0,IF(INDEX([1]!Product_Pricing_Table[#Data],MATCH(EA$1,Products,0),2)="Cores",IF(HostBuild[Use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4" s="59">
        <f>IFERROR(IF(FIND(EB$1,$W64)&gt;0,IF(INDEX([1]!Product_Pricing_Table[#Data],MATCH(EB$1,Products,0),2)="Cores",IF(HostBuild[Use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4" s="60">
        <f>IFERROR(IF(FIND(EC$1,$W64)&gt;0,IF(INDEX([1]!Product_Pricing_Table[#Data],MATCH(EC$1,Products,0),2)="Cores",IF(HostBuild[Use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4" s="59">
        <f>IFERROR(IF(FIND(ED$1,$W64)&gt;0,IF(INDEX([1]!Product_Pricing_Table[#Data],MATCH(ED$1,Products,0),2)="Cores",IF(HostBuild[Use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4" s="59">
        <f>IFERROR(IF(FIND(EE$1,$W64)&gt;0,IF(INDEX([1]!Product_Pricing_Table[#Data],MATCH(EE$1,Products,0),2)="Cores",IF(HostBuild[Use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4" s="59">
        <f>IFERROR(IF(FIND(EF$1,$W64)&gt;0,IF(INDEX([1]!Product_Pricing_Table[#Data],MATCH(EF$1,Products,0),2)="Cores",IF(HostBuild[Use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4" s="59">
        <f>IFERROR(IF(FIND(EG$1,$W64)&gt;0,IF(INDEX([1]!Product_Pricing_Table[#Data],MATCH(EG$1,Products,0),2)="Cores",IF(HostBuild[Use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4" s="59">
        <f>IFERROR(IF(FIND(EH$1,$W64)&gt;0,IF(INDEX([1]!Product_Pricing_Table[#Data],MATCH(EH$1,Products,0),2)="Cores",IF(HostBuild[Use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4" s="59">
        <f>IFERROR(IF(FIND(EI$1,$W64)&gt;0,IF(INDEX([1]!Product_Pricing_Table[#Data],MATCH(EI$1,Products,0),2)="Cores",IF(HostBuild[Use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4" s="59">
        <f>IFERROR(IF(FIND(EJ$1,$W64)&gt;0,IF(INDEX([1]!Product_Pricing_Table[#Data],MATCH(EJ$1,Products,0),2)="Cores",IF(HostBuild[Use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4" s="60">
        <f>IFERROR(IF(FIND(EK$1,$W64)&gt;0,IF(INDEX([1]!Product_Pricing_Table[#Data],MATCH(EK$1,Products,0),2)="Cores",IF(HostBuild[Use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4" s="61"/>
      <c r="EM64" s="62"/>
      <c r="EN64" s="63"/>
      <c r="EO64"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6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4" s="132">
        <f>(HostBuild[Archive
Full (GB)]+HostBuild[Archive
Incr (GB)])*Storage_DC_Dist_Tape_2014</f>
        <v>0</v>
      </c>
      <c r="ER64" s="132">
        <f>IF(ISNUMBER(HostBuild[Server HW Costs
(Monthly)]),SUM(HostBuild[[#This Row],[Server HW Costs
(Monthly)]:[Tape Costs
(Monthly)]]),0)</f>
        <v>0</v>
      </c>
      <c r="ES64" s="65">
        <f>HostBuild[Software Costs
'[Year 1']
(Monthly)]+HostBuild[Total Hardware Costs
(Monthly)]</f>
        <v>0</v>
      </c>
      <c r="ET64" s="65">
        <f>IFERROR(IF(FIND("Safenet",HostBuild[Server Model]),Safenet_PSE_PL600_Maint,0),0)+IFERROR(IF(FIND("XI52",HostBuild[Server Model]),IBM_DIA_XI52_Maint,0),0)+HostBuild[Software Costs
'[After Year 1']
(Monthly)]+HostBuild[Total Hardware Costs
(Monthly)]</f>
        <v>0</v>
      </c>
      <c r="EU64" s="66">
        <f>SUM(HostBuild[[#This Row],[Server Cost Breakdown]:[Network Cost]])</f>
        <v>0</v>
      </c>
      <c r="EV64" s="67">
        <f>IF(HostBuild[Existing Server?]="Yes - Inside this BoM",0,SUMIF(HostBuild[Alias],HostBuild[Alias],HostBuild[CPU])+SUMIF(HostBuild[Alias],HostBuild[Alias],HostBuild[Existing CPUs]))</f>
        <v>0</v>
      </c>
      <c r="EW64" s="67">
        <f>IF(HostBuild[Existing Server?]="Yes - Inside this BoM",0,SUMIF(HostBuild[Alias],HostBuild[Alias],HostBuild[Cores 
(Licensed Units)])+SUMIF(HostBuild[Alias],HostBuild[Alias],HostBuild[Existing Cores]))</f>
        <v>0</v>
      </c>
      <c r="EX64" s="67">
        <f>IF(HostBuild[Existing Server?]="Yes - Inside this BoM",0,SUMIF(HostBuild[Alias],HostBuild[Alias],HostBuild[RAM 
(GB)])+SUMIF(HostBuild[Alias],HostBuild[Alias],HostBuild[Existing RAM (GB)]))</f>
        <v>0</v>
      </c>
      <c r="EY6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4" s="66">
        <f>IF(ISBLANK(HostBuild[Server Model]),0,IF(HostBuild[Server Tier]="VMware",0,VLOOKUP(HostBuild[Server Tier],[1]!ServerTierRates[#Data],2,0))*HostBuild[CPU]*IF(AND(HostBuild[Server Type]="pSeries",HostBuild[Virtual Platform Storage Type]="Cloud-SAN"),0.25,1))</f>
        <v>0</v>
      </c>
      <c r="FD64" s="66">
        <f>0</f>
        <v>0</v>
      </c>
      <c r="FE64" s="66">
        <f>IF(HostBuild[Server Type]="VMware",HostBuild[RAM 
(GB)]*IF(ISERROR(FIND("DevCloud", HostBuild[Server Model])&gt;0),vRAM_per_vCPU_2014_Monthly,vRAM_per_vCPU_2014_Daily*30),0)</f>
        <v>0</v>
      </c>
      <c r="FF6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4" s="69">
        <f>IF(HostBuild[Server Tier]="VMware",0,IF(LEFT(HostBuild[Existing Server?],3)="Yes",0,IF(OR(HostBuild[Server Type]="Sun",HostBuild[Server Type]="pSeries"),Support_Direct_Server_Sun_per_OS_2014,IF(HostBuild[Server Type]="x86",Support_Direct_Server_x86_Wintel_per_OS_2014,0))))</f>
        <v>0</v>
      </c>
      <c r="FI6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5" spans="1:165" hidden="1">
      <c r="A65" s="122" t="s">
        <v>53</v>
      </c>
      <c r="B65" s="36"/>
      <c r="C65" s="36"/>
      <c r="D65" s="36"/>
      <c r="E65" s="37"/>
      <c r="F65" s="37"/>
      <c r="G65" s="103"/>
      <c r="H65" s="103"/>
      <c r="I65" s="38"/>
      <c r="J65" s="37"/>
      <c r="K65" s="37"/>
      <c r="L65" s="37"/>
      <c r="M65" s="103" t="e">
        <f ca="1">IF(rngIsDate(HostBuild[CTO Acceptance]),"Y","N")</f>
        <v>#NAME?</v>
      </c>
      <c r="N65" s="123" t="s">
        <v>3</v>
      </c>
      <c r="O65" s="39"/>
      <c r="P65" s="39"/>
      <c r="Q65" s="123" t="s">
        <v>52</v>
      </c>
      <c r="R65" s="126" t="str">
        <f>IF(NOT(ISBLANK(HostBuild[Env Label])),IFERROR(VLOOKUP(HostBuild[Env Label],[1]!tEnv[#Data],3,FALSE),""),"")</f>
        <v/>
      </c>
      <c r="S65" s="104"/>
      <c r="T65" s="40"/>
      <c r="U65" s="105"/>
      <c r="V65" s="123" t="s">
        <v>105</v>
      </c>
      <c r="W65" s="123" t="s">
        <v>98</v>
      </c>
      <c r="X65" s="123" t="s">
        <v>99</v>
      </c>
      <c r="Y65" s="123" t="s">
        <v>58</v>
      </c>
      <c r="Z65" s="126" t="str">
        <f>IF(NOT(ISBLANK(HostBuild[[#This Row],[Product 
(Acronym)]])),CONCATENATE(HostBuild[[#This Row],[Type]],"-",HostBuild[[#This Row],[Product 
(Acronym)]]),"")</f>
        <v>DB-ESB</v>
      </c>
      <c r="AA65" s="106"/>
      <c r="AB65" s="106" t="s">
        <v>59</v>
      </c>
      <c r="AC65" s="41"/>
      <c r="AD65" s="42"/>
      <c r="AE65" s="42"/>
      <c r="AF65" s="43"/>
      <c r="AG65" s="124"/>
      <c r="AH65" s="107"/>
      <c r="AI65" s="124" t="s">
        <v>148</v>
      </c>
      <c r="AJ65" s="123">
        <f>IF(COUNTIF(HostBuild[Alias],HostBuild[Alias]),1/COUNTIF(HostBuild[Alias],HostBuild[Alias]),0)</f>
        <v>1</v>
      </c>
      <c r="AK65" s="124"/>
      <c r="AL65" s="124"/>
      <c r="AM65" s="44" t="s">
        <v>101</v>
      </c>
      <c r="AN65" s="45" t="str">
        <f>IF(NOT(ISBLANK(HostBuild[Server Model])),VLOOKUP(HostBuild[Server Model],[1]!ServerModelsTier[#Data],2,FALSE),"")</f>
        <v>IBM P-Series Tier 2</v>
      </c>
      <c r="AO65" s="45" t="str">
        <f>IF(NOT(ISBLANK(HostBuild[Server Model])),VLOOKUP(HostBuild[Server Model],[1]!ServerModelsTier[#Data],5,FALSE),"")</f>
        <v>pSeries</v>
      </c>
      <c r="AP65" s="44"/>
      <c r="AQ65" s="44" t="s">
        <v>102</v>
      </c>
      <c r="AR65" s="47"/>
      <c r="AS65" s="108"/>
      <c r="AT65" s="47"/>
      <c r="AU65" s="109"/>
      <c r="AV65" s="48"/>
      <c r="AW65" s="124"/>
      <c r="AX65" s="124"/>
      <c r="AY65" s="124"/>
      <c r="AZ65" s="49"/>
      <c r="BA65" s="124"/>
      <c r="BB65" s="124"/>
      <c r="BC65" s="42"/>
      <c r="BD65" s="124"/>
      <c r="BE65" s="124"/>
      <c r="BF65" s="124"/>
      <c r="BG65" s="124"/>
      <c r="BH65" s="124"/>
      <c r="BI65" s="124"/>
      <c r="BJ65" s="124"/>
      <c r="BK65" s="133"/>
      <c r="BL65" s="127"/>
      <c r="BM65" s="129"/>
      <c r="BN65" s="128"/>
      <c r="BO65" s="129"/>
      <c r="BP65" s="130"/>
      <c r="BQ65" s="131"/>
      <c r="BR65" s="125" t="s">
        <v>64</v>
      </c>
      <c r="BS65" s="110">
        <f>IF(HostBuild[Existing Server?]&lt;&gt;"Yes - Inside this BoM",IF(ISNUMBER(HostBuild[RAM 
(GB)]),IF(HostBuild[Existing RAM (GB)]+HostBuild[RAM 
(GB)]&gt;0,IF(HostBuild[Virtual Platform Storage Type]="NAS",110+HostBuild[Existing RAM (GB)]+HostBuild[RAM 
(GB)]*1.75,0),0),0),0)</f>
        <v>0</v>
      </c>
      <c r="BT65" s="111"/>
      <c r="BU65" s="112">
        <f>IF(ISNUMBER(HostBuild[Recommended NAS (GB)]),HostBuild[Recommended NAS (GB)])+HostBuild[Additional NAS (GB)]</f>
        <v>0</v>
      </c>
      <c r="BV65" s="50"/>
      <c r="BW65" s="50"/>
      <c r="BX65" s="133">
        <f>IFERROR((HostBuild[SAN (GB)
End-State
DO NOT USE TO BUILD]+HostBuild[SAN (GB) Shared])*25%,"")</f>
        <v>0</v>
      </c>
      <c r="BY65" s="113">
        <f>IFERROR(HostBuild[Archive
Full (GB)]*15%,"")</f>
        <v>0</v>
      </c>
      <c r="BZ65" s="51"/>
      <c r="CA65" s="51"/>
      <c r="CB65" s="52"/>
      <c r="CC65" s="53"/>
      <c r="CD65" s="52"/>
      <c r="CE65" s="54"/>
      <c r="CF65" s="128"/>
      <c r="CG65" s="114"/>
      <c r="CH65" s="55"/>
      <c r="CI65" s="56"/>
      <c r="CJ65" s="57"/>
      <c r="CK65" s="58"/>
      <c r="CL65" s="59">
        <f>IFERROR(IF(FIND(CL$1,$W65)&gt;0,IF(INDEX([1]!Product_Pricing_Table[#Data],MATCH(CL$1,Products,0),2)="Cores",IF(HostBuild[Use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5" s="59">
        <f>IFERROR(IF(FIND(CM$1,$W65)&gt;0,IF(INDEX([1]!Product_Pricing_Table[#Data],MATCH(CM$1,Products,0),2)="Cores",IF(HostBuild[Use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5" s="59">
        <f>IFERROR(IF(FIND(CN$1,$W65)&gt;0,IF(INDEX([1]!Product_Pricing_Table[#Data],MATCH(CN$1,Products,0),2)="Cores",IF(HostBuild[Use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5" s="59">
        <f>IFERROR(IF(FIND(CO$1,$W65)&gt;0,IF(INDEX([1]!Product_Pricing_Table[#Data],MATCH(CO$1,Products,0),2)="Cores",IF(HostBuild[Use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5" s="59">
        <f>IFERROR(IF(FIND(CP$1,$W65)&gt;0,IF(INDEX([1]!Product_Pricing_Table[#Data],MATCH(CP$1,Products,0),2)="Cores",IF(HostBuild[Use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5" s="59">
        <f>IFERROR(IF(FIND(CQ$1,$W65)&gt;0,IF(INDEX([1]!Product_Pricing_Table[#Data],MATCH(CQ$1,Products,0),2)="Cores",IF(HostBuild[Use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5" s="59">
        <f>IFERROR(IF(FIND(CR$1,$W65)&gt;0,IF(INDEX([1]!Product_Pricing_Table[#Data],MATCH(CR$1,Products,0),2)="Cores",IF(HostBuild[Use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5" s="59">
        <f>IFERROR(IF(FIND(CS$1,$W65)&gt;0,IF(INDEX([1]!Product_Pricing_Table[#Data],MATCH(CS$1,Products,0),2)="Cores",IF(HostBuild[Use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5" s="59">
        <f>IFERROR(IF(FIND(CT$1,$W65)&gt;0,IF(INDEX([1]!Product_Pricing_Table[#Data],MATCH(CT$1,Products,0),2)="Cores",IF(HostBuild[Use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5" s="59">
        <f>IFERROR(IF(FIND(CU$1,$W65)&gt;0,IF(INDEX([1]!Product_Pricing_Table[#Data],MATCH(CU$1,Products,0),2)="Cores",IF(HostBuild[Use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5" s="59">
        <f>IFERROR(IF(FIND(CV$1,$W65)&gt;0,IF(INDEX([1]!Product_Pricing_Table[#Data],MATCH(CV$1,Products,0),2)="Cores",IF(HostBuild[Use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5" s="59">
        <f>IFERROR(IF(FIND(CW$1,$W65)&gt;0,IF(INDEX([1]!Product_Pricing_Table[#Data],MATCH(CW$1,Products,0),2)="Cores",IF(HostBuild[Use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5" s="59">
        <f>IFERROR(IF(FIND(CX$1,$W65)&gt;0,IF(INDEX([1]!Product_Pricing_Table[#Data],MATCH(CX$1,Products,0),2)="Cores",IF(HostBuild[Use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5" s="59">
        <f>IFERROR(IF(FIND(CY$1,$W65)&gt;0,IF(INDEX([1]!Product_Pricing_Table[#Data],MATCH(CY$1,Products,0),2)="Cores",IF(HostBuild[Use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5" s="59">
        <f>IFERROR(IF(FIND(CZ$1,$W65)&gt;0,IF(INDEX([1]!Product_Pricing_Table[#Data],MATCH(CZ$1,Products,0),2)="Cores",IF(HostBuild[Use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5" s="59">
        <f>IFERROR(IF(FIND(DA$1,$W65)&gt;0,IF(INDEX([1]!Product_Pricing_Table[#Data],MATCH(DA$1,Products,0),2)="Cores",IF(HostBuild[Use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5" s="59">
        <f>IFERROR(IF(FIND(DB$1,$W65)&gt;0,IF(INDEX([1]!Product_Pricing_Table[#Data],MATCH(DB$1,Products,0),2)="Cores",IF(HostBuild[Use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5" s="59">
        <f>IFERROR(IF(FIND(DC$1,$W65)&gt;0,IF(INDEX([1]!Product_Pricing_Table[#Data],MATCH(DC$1,Products,0),2)="Cores",IF(HostBuild[Use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5" s="59">
        <f>IFERROR(IF(FIND(DD$1,$W65)&gt;0,IF(INDEX([1]!Product_Pricing_Table[#Data],MATCH(DD$1,Products,0),2)="Cores",IF(HostBuild[Use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5" s="59">
        <f>IFERROR(IF(FIND(DE$1,$W65)&gt;0,IF(INDEX([1]!Product_Pricing_Table[#Data],MATCH(DE$1,Products,0),2)="Cores",IF(HostBuild[Use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5" s="60">
        <f>IFERROR(IF(FIND(DF$1,$W65)&gt;0,IF(INDEX([1]!Product_Pricing_Table[#Data],MATCH(DF$1,Products,0),2)="Cores",IF(HostBuild[Use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5" s="60">
        <f>IFERROR(IF(FIND(DG$1,$W65)&gt;0,IF(INDEX([1]!Product_Pricing_Table[#Data],MATCH(DG$1,Products,0),2)="Cores",IF(HostBuild[Use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5" s="59">
        <f>IFERROR(IF(FIND(DH$1,$W65)&gt;0,IF(INDEX([1]!Product_Pricing_Table[#Data],MATCH(DH$1,Products,0),2)="Cores",IF(HostBuild[Use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5" s="60">
        <f>IFERROR(IF(FIND(DI$1,$W65)&gt;0,IF(INDEX([1]!Product_Pricing_Table[#Data],MATCH(DI$1,Products,0),2)="Cores",IF(HostBuild[Use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5" s="59">
        <f>IFERROR(IF(FIND(DJ$1,$W65)&gt;0,IF(INDEX([1]!Product_Pricing_Table[#Data],MATCH(DJ$1,Products,0),2)="Cores",IF(HostBuild[Use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5" s="59">
        <f>IFERROR(IF(FIND(DK$1,$W65)&gt;0,IF(INDEX([1]!Product_Pricing_Table[#Data],MATCH(DK$1,Products,0),2)="Cores",IF(HostBuild[Use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5" s="59">
        <f>IFERROR(IF(FIND(DL$1,$W65)&gt;0,IF(INDEX([1]!Product_Pricing_Table[#Data],MATCH(DL$1,Products,0),2)="Cores",IF(HostBuild[Use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5" s="59">
        <f>IFERROR(IF(FIND(DM$1,$W65)&gt;0,IF(INDEX([1]!Product_Pricing_Table[#Data],MATCH(DM$1,Products,0),2)="Cores",IF(HostBuild[Use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5" s="59">
        <f>IFERROR(IF(FIND(DN$1,$W65)&gt;0,IF(INDEX([1]!Product_Pricing_Table[#Data],MATCH(DN$1,Products,0),2)="Cores",IF(HostBuild[Use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5" s="59">
        <f>IFERROR(IF(FIND(DO$1,$W65)&gt;0,IF(INDEX([1]!Product_Pricing_Table[#Data],MATCH(DO$1,Products,0),2)="Cores",IF(HostBuild[Use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5" s="59">
        <f>IFERROR(IF(FIND(DP$1,$W65)&gt;0,IF(INDEX([1]!Product_Pricing_Table[#Data],MATCH(DP$1,Products,0),2)="Cores",IF(HostBuild[Use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5" s="59">
        <f>IFERROR(IF(FIND(DQ$1,$W65)&gt;0,IF(INDEX([1]!Product_Pricing_Table[#Data],MATCH(DQ$1,Products,0),2)="Cores",IF(HostBuild[Use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5" s="59">
        <f>IFERROR(IF(FIND(DR$1,$W65)&gt;0,IF(INDEX([1]!Product_Pricing_Table[#Data],MATCH(DR$1,Products,0),2)="Cores",IF(HostBuild[Use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5" s="59">
        <f>IFERROR(IF(FIND(DS$1,$W65)&gt;0,IF(INDEX([1]!Product_Pricing_Table[#Data],MATCH(DS$1,Products,0),2)="Cores",IF(HostBuild[Use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5" s="59">
        <f>IFERROR(IF(FIND(DT$1,$W65)&gt;0,IF(INDEX([1]!Product_Pricing_Table[#Data],MATCH(DT$1,Products,0),2)="Cores",IF(HostBuild[Use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5" s="59">
        <f>IFERROR(IF(FIND(DU$1,$W65)&gt;0,IF(INDEX([1]!Product_Pricing_Table[#Data],MATCH(DU$1,Products,0),2)="Cores",IF(HostBuild[Use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5" s="59">
        <f>IFERROR(IF(FIND(DV$1,$W65)&gt;0,IF(INDEX([1]!Product_Pricing_Table[#Data],MATCH(DV$1,Products,0),2)="Cores",IF(HostBuild[Use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5" s="59">
        <f>IFERROR(IF(FIND(DW$1,$W65)&gt;0,IF(INDEX([1]!Product_Pricing_Table[#Data],MATCH(DW$1,Products,0),2)="Cores",IF(HostBuild[Use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5" s="59">
        <f>IFERROR(IF(FIND(DX$1,$W65)&gt;0,IF(INDEX([1]!Product_Pricing_Table[#Data],MATCH(DX$1,Products,0),2)="Cores",IF(HostBuild[Use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5" s="59">
        <f>IFERROR(IF(FIND(DY$1,$W65)&gt;0,IF(INDEX([1]!Product_Pricing_Table[#Data],MATCH(DY$1,Products,0),2)="Cores",IF(HostBuild[Use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5" s="59">
        <f>IFERROR(IF(FIND(DZ$1,$W65)&gt;0,IF(INDEX([1]!Product_Pricing_Table[#Data],MATCH(DZ$1,Products,0),2)="Cores",IF(HostBuild[Use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5" s="59">
        <f>IFERROR(IF(FIND(EA$1,$W65)&gt;0,IF(INDEX([1]!Product_Pricing_Table[#Data],MATCH(EA$1,Products,0),2)="Cores",IF(HostBuild[Use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5" s="59">
        <f>IFERROR(IF(FIND(EB$1,$W65)&gt;0,IF(INDEX([1]!Product_Pricing_Table[#Data],MATCH(EB$1,Products,0),2)="Cores",IF(HostBuild[Use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5" s="60">
        <f>IFERROR(IF(FIND(EC$1,$W65)&gt;0,IF(INDEX([1]!Product_Pricing_Table[#Data],MATCH(EC$1,Products,0),2)="Cores",IF(HostBuild[Use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5" s="59">
        <f>IFERROR(IF(FIND(ED$1,$W65)&gt;0,IF(INDEX([1]!Product_Pricing_Table[#Data],MATCH(ED$1,Products,0),2)="Cores",IF(HostBuild[Use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5" s="59">
        <f>IFERROR(IF(FIND(EE$1,$W65)&gt;0,IF(INDEX([1]!Product_Pricing_Table[#Data],MATCH(EE$1,Products,0),2)="Cores",IF(HostBuild[Use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5" s="59">
        <f>IFERROR(IF(FIND(EF$1,$W65)&gt;0,IF(INDEX([1]!Product_Pricing_Table[#Data],MATCH(EF$1,Products,0),2)="Cores",IF(HostBuild[Use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5" s="59">
        <f>IFERROR(IF(FIND(EG$1,$W65)&gt;0,IF(INDEX([1]!Product_Pricing_Table[#Data],MATCH(EG$1,Products,0),2)="Cores",IF(HostBuild[Use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5" s="59">
        <f>IFERROR(IF(FIND(EH$1,$W65)&gt;0,IF(INDEX([1]!Product_Pricing_Table[#Data],MATCH(EH$1,Products,0),2)="Cores",IF(HostBuild[Use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5" s="59">
        <f>IFERROR(IF(FIND(EI$1,$W65)&gt;0,IF(INDEX([1]!Product_Pricing_Table[#Data],MATCH(EI$1,Products,0),2)="Cores",IF(HostBuild[Use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5" s="59">
        <f>IFERROR(IF(FIND(EJ$1,$W65)&gt;0,IF(INDEX([1]!Product_Pricing_Table[#Data],MATCH(EJ$1,Products,0),2)="Cores",IF(HostBuild[Use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5" s="60">
        <f>IFERROR(IF(FIND(EK$1,$W65)&gt;0,IF(INDEX([1]!Product_Pricing_Table[#Data],MATCH(EK$1,Products,0),2)="Cores",IF(HostBuild[Use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5" s="61"/>
      <c r="EM65" s="62"/>
      <c r="EN65" s="63"/>
      <c r="EO65"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6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5" s="132">
        <f>(HostBuild[Archive
Full (GB)]+HostBuild[Archive
Incr (GB)])*Storage_DC_Dist_Tape_2014</f>
        <v>0</v>
      </c>
      <c r="ER65" s="132">
        <f>IF(ISNUMBER(HostBuild[Server HW Costs
(Monthly)]),SUM(HostBuild[[#This Row],[Server HW Costs
(Monthly)]:[Tape Costs
(Monthly)]]),0)</f>
        <v>0</v>
      </c>
      <c r="ES65" s="65">
        <f>HostBuild[Software Costs
'[Year 1']
(Monthly)]+HostBuild[Total Hardware Costs
(Monthly)]</f>
        <v>0</v>
      </c>
      <c r="ET65" s="65">
        <f>IFERROR(IF(FIND("Safenet",HostBuild[Server Model]),Safenet_PSE_PL600_Maint,0),0)+IFERROR(IF(FIND("XI52",HostBuild[Server Model]),IBM_DIA_XI52_Maint,0),0)+HostBuild[Software Costs
'[After Year 1']
(Monthly)]+HostBuild[Total Hardware Costs
(Monthly)]</f>
        <v>0</v>
      </c>
      <c r="EU65" s="66">
        <f>SUM(HostBuild[[#This Row],[Server Cost Breakdown]:[Network Cost]])</f>
        <v>0</v>
      </c>
      <c r="EV65" s="67">
        <f>IF(HostBuild[Existing Server?]="Yes - Inside this BoM",0,SUMIF(HostBuild[Alias],HostBuild[Alias],HostBuild[CPU])+SUMIF(HostBuild[Alias],HostBuild[Alias],HostBuild[Existing CPUs]))</f>
        <v>0</v>
      </c>
      <c r="EW65" s="67">
        <f>IF(HostBuild[Existing Server?]="Yes - Inside this BoM",0,SUMIF(HostBuild[Alias],HostBuild[Alias],HostBuild[Cores 
(Licensed Units)])+SUMIF(HostBuild[Alias],HostBuild[Alias],HostBuild[Existing Cores]))</f>
        <v>0</v>
      </c>
      <c r="EX65" s="67">
        <f>IF(HostBuild[Existing Server?]="Yes - Inside this BoM",0,SUMIF(HostBuild[Alias],HostBuild[Alias],HostBuild[RAM 
(GB)])+SUMIF(HostBuild[Alias],HostBuild[Alias],HostBuild[Existing RAM (GB)]))</f>
        <v>0</v>
      </c>
      <c r="EY6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5" s="66">
        <f>IF(ISBLANK(HostBuild[Server Model]),0,IF(HostBuild[Server Tier]="VMware",0,VLOOKUP(HostBuild[Server Tier],[1]!ServerTierRates[#Data],2,0))*HostBuild[CPU]*IF(AND(HostBuild[Server Type]="pSeries",HostBuild[Virtual Platform Storage Type]="Cloud-SAN"),0.25,1))</f>
        <v>0</v>
      </c>
      <c r="FD65" s="66">
        <f>0</f>
        <v>0</v>
      </c>
      <c r="FE65" s="66">
        <f>IF(HostBuild[Server Type]="VMware",HostBuild[RAM 
(GB)]*IF(ISERROR(FIND("DevCloud", HostBuild[Server Model])&gt;0),vRAM_per_vCPU_2014_Monthly,vRAM_per_vCPU_2014_Daily*30),0)</f>
        <v>0</v>
      </c>
      <c r="FF6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5" s="69">
        <f>IF(HostBuild[Server Tier]="VMware",0,IF(LEFT(HostBuild[Existing Server?],3)="Yes",0,IF(OR(HostBuild[Server Type]="Sun",HostBuild[Server Type]="pSeries"),Support_Direct_Server_Sun_per_OS_2014,IF(HostBuild[Server Type]="x86",Support_Direct_Server_x86_Wintel_per_OS_2014,0))))</f>
        <v>0</v>
      </c>
      <c r="FI6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6" spans="1:165" hidden="1">
      <c r="A66" s="122" t="s">
        <v>53</v>
      </c>
      <c r="B66" s="36"/>
      <c r="C66" s="36"/>
      <c r="D66" s="36"/>
      <c r="E66" s="37"/>
      <c r="F66" s="37"/>
      <c r="G66" s="103"/>
      <c r="H66" s="103"/>
      <c r="I66" s="38"/>
      <c r="J66" s="37"/>
      <c r="K66" s="37"/>
      <c r="L66" s="37"/>
      <c r="M66" s="103" t="e">
        <f ca="1">IF(rngIsDate(HostBuild[CTO Acceptance]),"Y","N")</f>
        <v>#NAME?</v>
      </c>
      <c r="N66" s="123" t="s">
        <v>3</v>
      </c>
      <c r="O66" s="39"/>
      <c r="P66" s="39"/>
      <c r="Q66" s="123" t="s">
        <v>52</v>
      </c>
      <c r="R66" s="126" t="str">
        <f>IF(NOT(ISBLANK(HostBuild[Env Label])),IFERROR(VLOOKUP(HostBuild[Env Label],[1]!tEnv[#Data],3,FALSE),""),"")</f>
        <v/>
      </c>
      <c r="S66" s="104"/>
      <c r="T66" s="40"/>
      <c r="U66" s="105"/>
      <c r="V66" s="123" t="s">
        <v>107</v>
      </c>
      <c r="W66" s="123" t="s">
        <v>108</v>
      </c>
      <c r="X66" s="123" t="s">
        <v>99</v>
      </c>
      <c r="Y66" s="123" t="s">
        <v>58</v>
      </c>
      <c r="Z66" s="126" t="str">
        <f>IF(NOT(ISBLANK(HostBuild[[#This Row],[Product 
(Acronym)]])),CONCATENATE(HostBuild[[#This Row],[Type]],"-",HostBuild[[#This Row],[Product 
(Acronym)]]),"")</f>
        <v>DB-ESB</v>
      </c>
      <c r="AA66" s="106"/>
      <c r="AB66" s="106" t="s">
        <v>59</v>
      </c>
      <c r="AC66" s="41"/>
      <c r="AD66" s="42"/>
      <c r="AE66" s="42"/>
      <c r="AF66" s="43"/>
      <c r="AG66" s="124"/>
      <c r="AH66" s="107"/>
      <c r="AI66" s="124" t="s">
        <v>149</v>
      </c>
      <c r="AJ66" s="123">
        <f>IF(COUNTIF(HostBuild[Alias],HostBuild[Alias]),1/COUNTIF(HostBuild[Alias],HostBuild[Alias]),0)</f>
        <v>1</v>
      </c>
      <c r="AK66" s="124"/>
      <c r="AL66" s="124"/>
      <c r="AM66" s="44" t="s">
        <v>101</v>
      </c>
      <c r="AN66" s="45" t="str">
        <f>IF(NOT(ISBLANK(HostBuild[Server Model])),VLOOKUP(HostBuild[Server Model],[1]!ServerModelsTier[#Data],2,FALSE),"")</f>
        <v>IBM P-Series Tier 2</v>
      </c>
      <c r="AO66" s="45" t="str">
        <f>IF(NOT(ISBLANK(HostBuild[Server Model])),VLOOKUP(HostBuild[Server Model],[1]!ServerModelsTier[#Data],5,FALSE),"")</f>
        <v>pSeries</v>
      </c>
      <c r="AP66" s="44"/>
      <c r="AQ66" s="44" t="s">
        <v>102</v>
      </c>
      <c r="AR66" s="47"/>
      <c r="AS66" s="108"/>
      <c r="AT66" s="47"/>
      <c r="AU66" s="109"/>
      <c r="AV66" s="48"/>
      <c r="AW66" s="124"/>
      <c r="AX66" s="124"/>
      <c r="AY66" s="124"/>
      <c r="AZ66" s="49"/>
      <c r="BA66" s="124"/>
      <c r="BB66" s="124"/>
      <c r="BC66" s="42"/>
      <c r="BD66" s="124"/>
      <c r="BE66" s="124"/>
      <c r="BF66" s="124"/>
      <c r="BG66" s="124"/>
      <c r="BH66" s="124"/>
      <c r="BI66" s="124"/>
      <c r="BJ66" s="124"/>
      <c r="BK66" s="133"/>
      <c r="BL66" s="127"/>
      <c r="BM66" s="129"/>
      <c r="BN66" s="128"/>
      <c r="BO66" s="129"/>
      <c r="BP66" s="130"/>
      <c r="BQ66" s="131"/>
      <c r="BR66" s="125" t="s">
        <v>64</v>
      </c>
      <c r="BS66" s="110">
        <f>IF(HostBuild[Existing Server?]&lt;&gt;"Yes - Inside this BoM",IF(ISNUMBER(HostBuild[RAM 
(GB)]),IF(HostBuild[Existing RAM (GB)]+HostBuild[RAM 
(GB)]&gt;0,IF(HostBuild[Virtual Platform Storage Type]="NAS",110+HostBuild[Existing RAM (GB)]+HostBuild[RAM 
(GB)]*1.75,0),0),0),0)</f>
        <v>0</v>
      </c>
      <c r="BT66" s="111"/>
      <c r="BU66" s="112">
        <f>IF(ISNUMBER(HostBuild[Recommended NAS (GB)]),HostBuild[Recommended NAS (GB)])+HostBuild[Additional NAS (GB)]</f>
        <v>0</v>
      </c>
      <c r="BV66" s="50"/>
      <c r="BW66" s="50"/>
      <c r="BX66" s="133">
        <f>IFERROR((HostBuild[SAN (GB)
End-State
DO NOT USE TO BUILD]+HostBuild[SAN (GB) Shared])*25%,"")</f>
        <v>0</v>
      </c>
      <c r="BY66" s="113">
        <f>IFERROR(HostBuild[Archive
Full (GB)]*15%,"")</f>
        <v>0</v>
      </c>
      <c r="BZ66" s="51"/>
      <c r="CA66" s="51"/>
      <c r="CB66" s="52"/>
      <c r="CC66" s="53"/>
      <c r="CD66" s="52"/>
      <c r="CE66" s="54"/>
      <c r="CF66" s="128"/>
      <c r="CG66" s="114"/>
      <c r="CH66" s="55"/>
      <c r="CI66" s="56"/>
      <c r="CJ66" s="57"/>
      <c r="CK66" s="58"/>
      <c r="CL66" s="59">
        <f>IFERROR(IF(FIND(CL$1,$W66)&gt;0,IF(INDEX([1]!Product_Pricing_Table[#Data],MATCH(CL$1,Products,0),2)="Cores",IF(HostBuild[Use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6" s="59">
        <f>IFERROR(IF(FIND(CM$1,$W66)&gt;0,IF(INDEX([1]!Product_Pricing_Table[#Data],MATCH(CM$1,Products,0),2)="Cores",IF(HostBuild[Use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6" s="59">
        <f>IFERROR(IF(FIND(CN$1,$W66)&gt;0,IF(INDEX([1]!Product_Pricing_Table[#Data],MATCH(CN$1,Products,0),2)="Cores",IF(HostBuild[Use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6" s="59">
        <f>IFERROR(IF(FIND(CO$1,$W66)&gt;0,IF(INDEX([1]!Product_Pricing_Table[#Data],MATCH(CO$1,Products,0),2)="Cores",IF(HostBuild[Use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6" s="59">
        <f>IFERROR(IF(FIND(CP$1,$W66)&gt;0,IF(INDEX([1]!Product_Pricing_Table[#Data],MATCH(CP$1,Products,0),2)="Cores",IF(HostBuild[Use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6" s="59">
        <f>IFERROR(IF(FIND(CQ$1,$W66)&gt;0,IF(INDEX([1]!Product_Pricing_Table[#Data],MATCH(CQ$1,Products,0),2)="Cores",IF(HostBuild[Use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6" s="59">
        <f>IFERROR(IF(FIND(CR$1,$W66)&gt;0,IF(INDEX([1]!Product_Pricing_Table[#Data],MATCH(CR$1,Products,0),2)="Cores",IF(HostBuild[Use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6" s="59">
        <f>IFERROR(IF(FIND(CS$1,$W66)&gt;0,IF(INDEX([1]!Product_Pricing_Table[#Data],MATCH(CS$1,Products,0),2)="Cores",IF(HostBuild[Use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6" s="59">
        <f>IFERROR(IF(FIND(CT$1,$W66)&gt;0,IF(INDEX([1]!Product_Pricing_Table[#Data],MATCH(CT$1,Products,0),2)="Cores",IF(HostBuild[Use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6" s="59">
        <f>IFERROR(IF(FIND(CU$1,$W66)&gt;0,IF(INDEX([1]!Product_Pricing_Table[#Data],MATCH(CU$1,Products,0),2)="Cores",IF(HostBuild[Use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6" s="59">
        <f>IFERROR(IF(FIND(CV$1,$W66)&gt;0,IF(INDEX([1]!Product_Pricing_Table[#Data],MATCH(CV$1,Products,0),2)="Cores",IF(HostBuild[Use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6" s="59">
        <f>IFERROR(IF(FIND(CW$1,$W66)&gt;0,IF(INDEX([1]!Product_Pricing_Table[#Data],MATCH(CW$1,Products,0),2)="Cores",IF(HostBuild[Use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6" s="59">
        <f>IFERROR(IF(FIND(CX$1,$W66)&gt;0,IF(INDEX([1]!Product_Pricing_Table[#Data],MATCH(CX$1,Products,0),2)="Cores",IF(HostBuild[Use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6" s="59">
        <f>IFERROR(IF(FIND(CY$1,$W66)&gt;0,IF(INDEX([1]!Product_Pricing_Table[#Data],MATCH(CY$1,Products,0),2)="Cores",IF(HostBuild[Use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6" s="59">
        <f>IFERROR(IF(FIND(CZ$1,$W66)&gt;0,IF(INDEX([1]!Product_Pricing_Table[#Data],MATCH(CZ$1,Products,0),2)="Cores",IF(HostBuild[Use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6" s="59">
        <f>IFERROR(IF(FIND(DA$1,$W66)&gt;0,IF(INDEX([1]!Product_Pricing_Table[#Data],MATCH(DA$1,Products,0),2)="Cores",IF(HostBuild[Use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6" s="59">
        <f>IFERROR(IF(FIND(DB$1,$W66)&gt;0,IF(INDEX([1]!Product_Pricing_Table[#Data],MATCH(DB$1,Products,0),2)="Cores",IF(HostBuild[Use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6" s="59">
        <f>IFERROR(IF(FIND(DC$1,$W66)&gt;0,IF(INDEX([1]!Product_Pricing_Table[#Data],MATCH(DC$1,Products,0),2)="Cores",IF(HostBuild[Use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6" s="59">
        <f>IFERROR(IF(FIND(DD$1,$W66)&gt;0,IF(INDEX([1]!Product_Pricing_Table[#Data],MATCH(DD$1,Products,0),2)="Cores",IF(HostBuild[Use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6" s="59">
        <f>IFERROR(IF(FIND(DE$1,$W66)&gt;0,IF(INDEX([1]!Product_Pricing_Table[#Data],MATCH(DE$1,Products,0),2)="Cores",IF(HostBuild[Use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6" s="60">
        <f>IFERROR(IF(FIND(DF$1,$W66)&gt;0,IF(INDEX([1]!Product_Pricing_Table[#Data],MATCH(DF$1,Products,0),2)="Cores",IF(HostBuild[Use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6" s="60">
        <f>IFERROR(IF(FIND(DG$1,$W66)&gt;0,IF(INDEX([1]!Product_Pricing_Table[#Data],MATCH(DG$1,Products,0),2)="Cores",IF(HostBuild[Use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6" s="59">
        <f>IFERROR(IF(FIND(DH$1,$W66)&gt;0,IF(INDEX([1]!Product_Pricing_Table[#Data],MATCH(DH$1,Products,0),2)="Cores",IF(HostBuild[Use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6" s="60">
        <f>IFERROR(IF(FIND(DI$1,$W66)&gt;0,IF(INDEX([1]!Product_Pricing_Table[#Data],MATCH(DI$1,Products,0),2)="Cores",IF(HostBuild[Use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6" s="59">
        <f>IFERROR(IF(FIND(DJ$1,$W66)&gt;0,IF(INDEX([1]!Product_Pricing_Table[#Data],MATCH(DJ$1,Products,0),2)="Cores",IF(HostBuild[Use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6" s="59">
        <f>IFERROR(IF(FIND(DK$1,$W66)&gt;0,IF(INDEX([1]!Product_Pricing_Table[#Data],MATCH(DK$1,Products,0),2)="Cores",IF(HostBuild[Use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6" s="59">
        <f>IFERROR(IF(FIND(DL$1,$W66)&gt;0,IF(INDEX([1]!Product_Pricing_Table[#Data],MATCH(DL$1,Products,0),2)="Cores",IF(HostBuild[Use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6" s="59">
        <f>IFERROR(IF(FIND(DM$1,$W66)&gt;0,IF(INDEX([1]!Product_Pricing_Table[#Data],MATCH(DM$1,Products,0),2)="Cores",IF(HostBuild[Use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6" s="59">
        <f>IFERROR(IF(FIND(DN$1,$W66)&gt;0,IF(INDEX([1]!Product_Pricing_Table[#Data],MATCH(DN$1,Products,0),2)="Cores",IF(HostBuild[Use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6" s="59">
        <f>IFERROR(IF(FIND(DO$1,$W66)&gt;0,IF(INDEX([1]!Product_Pricing_Table[#Data],MATCH(DO$1,Products,0),2)="Cores",IF(HostBuild[Use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6" s="59">
        <f>IFERROR(IF(FIND(DP$1,$W66)&gt;0,IF(INDEX([1]!Product_Pricing_Table[#Data],MATCH(DP$1,Products,0),2)="Cores",IF(HostBuild[Use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6" s="59">
        <f>IFERROR(IF(FIND(DQ$1,$W66)&gt;0,IF(INDEX([1]!Product_Pricing_Table[#Data],MATCH(DQ$1,Products,0),2)="Cores",IF(HostBuild[Use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6" s="59">
        <f>IFERROR(IF(FIND(DR$1,$W66)&gt;0,IF(INDEX([1]!Product_Pricing_Table[#Data],MATCH(DR$1,Products,0),2)="Cores",IF(HostBuild[Use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6" s="59">
        <f>IFERROR(IF(FIND(DS$1,$W66)&gt;0,IF(INDEX([1]!Product_Pricing_Table[#Data],MATCH(DS$1,Products,0),2)="Cores",IF(HostBuild[Use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6" s="59">
        <f>IFERROR(IF(FIND(DT$1,$W66)&gt;0,IF(INDEX([1]!Product_Pricing_Table[#Data],MATCH(DT$1,Products,0),2)="Cores",IF(HostBuild[Use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6" s="59">
        <f>IFERROR(IF(FIND(DU$1,$W66)&gt;0,IF(INDEX([1]!Product_Pricing_Table[#Data],MATCH(DU$1,Products,0),2)="Cores",IF(HostBuild[Use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6" s="59">
        <f>IFERROR(IF(FIND(DV$1,$W66)&gt;0,IF(INDEX([1]!Product_Pricing_Table[#Data],MATCH(DV$1,Products,0),2)="Cores",IF(HostBuild[Use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6" s="59">
        <f>IFERROR(IF(FIND(DW$1,$W66)&gt;0,IF(INDEX([1]!Product_Pricing_Table[#Data],MATCH(DW$1,Products,0),2)="Cores",IF(HostBuild[Use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6" s="59">
        <f>IFERROR(IF(FIND(DX$1,$W66)&gt;0,IF(INDEX([1]!Product_Pricing_Table[#Data],MATCH(DX$1,Products,0),2)="Cores",IF(HostBuild[Use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6" s="59">
        <f>IFERROR(IF(FIND(DY$1,$W66)&gt;0,IF(INDEX([1]!Product_Pricing_Table[#Data],MATCH(DY$1,Products,0),2)="Cores",IF(HostBuild[Use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6" s="59">
        <f>IFERROR(IF(FIND(DZ$1,$W66)&gt;0,IF(INDEX([1]!Product_Pricing_Table[#Data],MATCH(DZ$1,Products,0),2)="Cores",IF(HostBuild[Use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6" s="59">
        <f>IFERROR(IF(FIND(EA$1,$W66)&gt;0,IF(INDEX([1]!Product_Pricing_Table[#Data],MATCH(EA$1,Products,0),2)="Cores",IF(HostBuild[Use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6" s="59">
        <f>IFERROR(IF(FIND(EB$1,$W66)&gt;0,IF(INDEX([1]!Product_Pricing_Table[#Data],MATCH(EB$1,Products,0),2)="Cores",IF(HostBuild[Use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6" s="60">
        <f>IFERROR(IF(FIND(EC$1,$W66)&gt;0,IF(INDEX([1]!Product_Pricing_Table[#Data],MATCH(EC$1,Products,0),2)="Cores",IF(HostBuild[Use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6" s="59">
        <f>IFERROR(IF(FIND(ED$1,$W66)&gt;0,IF(INDEX([1]!Product_Pricing_Table[#Data],MATCH(ED$1,Products,0),2)="Cores",IF(HostBuild[Use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6" s="59">
        <f>IFERROR(IF(FIND(EE$1,$W66)&gt;0,IF(INDEX([1]!Product_Pricing_Table[#Data],MATCH(EE$1,Products,0),2)="Cores",IF(HostBuild[Use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6" s="59">
        <f>IFERROR(IF(FIND(EF$1,$W66)&gt;0,IF(INDEX([1]!Product_Pricing_Table[#Data],MATCH(EF$1,Products,0),2)="Cores",IF(HostBuild[Use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6" s="59">
        <f>IFERROR(IF(FIND(EG$1,$W66)&gt;0,IF(INDEX([1]!Product_Pricing_Table[#Data],MATCH(EG$1,Products,0),2)="Cores",IF(HostBuild[Use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6" s="59">
        <f>IFERROR(IF(FIND(EH$1,$W66)&gt;0,IF(INDEX([1]!Product_Pricing_Table[#Data],MATCH(EH$1,Products,0),2)="Cores",IF(HostBuild[Use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6" s="59">
        <f>IFERROR(IF(FIND(EI$1,$W66)&gt;0,IF(INDEX([1]!Product_Pricing_Table[#Data],MATCH(EI$1,Products,0),2)="Cores",IF(HostBuild[Use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6" s="59">
        <f>IFERROR(IF(FIND(EJ$1,$W66)&gt;0,IF(INDEX([1]!Product_Pricing_Table[#Data],MATCH(EJ$1,Products,0),2)="Cores",IF(HostBuild[Use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6" s="60">
        <f>IFERROR(IF(FIND(EK$1,$W66)&gt;0,IF(INDEX([1]!Product_Pricing_Table[#Data],MATCH(EK$1,Products,0),2)="Cores",IF(HostBuild[Use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6" s="61"/>
      <c r="EM66" s="62"/>
      <c r="EN66" s="63"/>
      <c r="EO66"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6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6" s="132">
        <f>(HostBuild[Archive
Full (GB)]+HostBuild[Archive
Incr (GB)])*Storage_DC_Dist_Tape_2014</f>
        <v>0</v>
      </c>
      <c r="ER66" s="132">
        <f>IF(ISNUMBER(HostBuild[Server HW Costs
(Monthly)]),SUM(HostBuild[[#This Row],[Server HW Costs
(Monthly)]:[Tape Costs
(Monthly)]]),0)</f>
        <v>0</v>
      </c>
      <c r="ES66" s="65">
        <f>HostBuild[Software Costs
'[Year 1']
(Monthly)]+HostBuild[Total Hardware Costs
(Monthly)]</f>
        <v>0</v>
      </c>
      <c r="ET66" s="65">
        <f>IFERROR(IF(FIND("Safenet",HostBuild[Server Model]),Safenet_PSE_PL600_Maint,0),0)+IFERROR(IF(FIND("XI52",HostBuild[Server Model]),IBM_DIA_XI52_Maint,0),0)+HostBuild[Software Costs
'[After Year 1']
(Monthly)]+HostBuild[Total Hardware Costs
(Monthly)]</f>
        <v>0</v>
      </c>
      <c r="EU66" s="66">
        <f>SUM(HostBuild[[#This Row],[Server Cost Breakdown]:[Network Cost]])</f>
        <v>0</v>
      </c>
      <c r="EV66" s="67">
        <f>IF(HostBuild[Existing Server?]="Yes - Inside this BoM",0,SUMIF(HostBuild[Alias],HostBuild[Alias],HostBuild[CPU])+SUMIF(HostBuild[Alias],HostBuild[Alias],HostBuild[Existing CPUs]))</f>
        <v>0</v>
      </c>
      <c r="EW66" s="67">
        <f>IF(HostBuild[Existing Server?]="Yes - Inside this BoM",0,SUMIF(HostBuild[Alias],HostBuild[Alias],HostBuild[Cores 
(Licensed Units)])+SUMIF(HostBuild[Alias],HostBuild[Alias],HostBuild[Existing Cores]))</f>
        <v>0</v>
      </c>
      <c r="EX66" s="67">
        <f>IF(HostBuild[Existing Server?]="Yes - Inside this BoM",0,SUMIF(HostBuild[Alias],HostBuild[Alias],HostBuild[RAM 
(GB)])+SUMIF(HostBuild[Alias],HostBuild[Alias],HostBuild[Existing RAM (GB)]))</f>
        <v>0</v>
      </c>
      <c r="EY6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6" s="66">
        <f>IF(ISBLANK(HostBuild[Server Model]),0,IF(HostBuild[Server Tier]="VMware",0,VLOOKUP(HostBuild[Server Tier],[1]!ServerTierRates[#Data],2,0))*HostBuild[CPU]*IF(AND(HostBuild[Server Type]="pSeries",HostBuild[Virtual Platform Storage Type]="Cloud-SAN"),0.25,1))</f>
        <v>0</v>
      </c>
      <c r="FD66" s="66">
        <f>0</f>
        <v>0</v>
      </c>
      <c r="FE66" s="66">
        <f>IF(HostBuild[Server Type]="VMware",HostBuild[RAM 
(GB)]*IF(ISERROR(FIND("DevCloud", HostBuild[Server Model])&gt;0),vRAM_per_vCPU_2014_Monthly,vRAM_per_vCPU_2014_Daily*30),0)</f>
        <v>0</v>
      </c>
      <c r="FF6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6" s="69">
        <f>IF(HostBuild[Server Tier]="VMware",0,IF(LEFT(HostBuild[Existing Server?],3)="Yes",0,IF(OR(HostBuild[Server Type]="Sun",HostBuild[Server Type]="pSeries"),Support_Direct_Server_Sun_per_OS_2014,IF(HostBuild[Server Type]="x86",Support_Direct_Server_x86_Wintel_per_OS_2014,0))))</f>
        <v>0</v>
      </c>
      <c r="FI6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7" spans="1:165" hidden="1">
      <c r="A67" s="122" t="s">
        <v>53</v>
      </c>
      <c r="B67" s="36"/>
      <c r="C67" s="36"/>
      <c r="D67" s="36"/>
      <c r="E67" s="37"/>
      <c r="F67" s="37"/>
      <c r="G67" s="103"/>
      <c r="H67" s="103"/>
      <c r="I67" s="38"/>
      <c r="J67" s="37"/>
      <c r="K67" s="37"/>
      <c r="L67" s="37"/>
      <c r="M67" s="103" t="e">
        <f ca="1">IF(rngIsDate(HostBuild[CTO Acceptance]),"Y","N")</f>
        <v>#NAME?</v>
      </c>
      <c r="N67" s="123" t="s">
        <v>3</v>
      </c>
      <c r="O67" s="39"/>
      <c r="P67" s="39"/>
      <c r="Q67" s="123" t="s">
        <v>52</v>
      </c>
      <c r="R67" s="126" t="str">
        <f>IF(NOT(ISBLANK(HostBuild[Env Label])),IFERROR(VLOOKUP(HostBuild[Env Label],[1]!tEnv[#Data],3,FALSE),""),"")</f>
        <v/>
      </c>
      <c r="S67" s="104"/>
      <c r="T67" s="40"/>
      <c r="U67" s="105"/>
      <c r="V67" s="123" t="s">
        <v>110</v>
      </c>
      <c r="W67" s="123" t="s">
        <v>108</v>
      </c>
      <c r="X67" s="123" t="s">
        <v>99</v>
      </c>
      <c r="Y67" s="123" t="s">
        <v>58</v>
      </c>
      <c r="Z67" s="126" t="str">
        <f>IF(NOT(ISBLANK(HostBuild[[#This Row],[Product 
(Acronym)]])),CONCATENATE(HostBuild[[#This Row],[Type]],"-",HostBuild[[#This Row],[Product 
(Acronym)]]),"")</f>
        <v>DB-ESB</v>
      </c>
      <c r="AA67" s="106"/>
      <c r="AB67" s="106" t="s">
        <v>59</v>
      </c>
      <c r="AC67" s="41"/>
      <c r="AD67" s="42"/>
      <c r="AE67" s="42"/>
      <c r="AF67" s="43"/>
      <c r="AG67" s="124"/>
      <c r="AH67" s="107"/>
      <c r="AI67" s="124" t="s">
        <v>150</v>
      </c>
      <c r="AJ67" s="123">
        <f>IF(COUNTIF(HostBuild[Alias],HostBuild[Alias]),1/COUNTIF(HostBuild[Alias],HostBuild[Alias]),0)</f>
        <v>1</v>
      </c>
      <c r="AK67" s="124"/>
      <c r="AL67" s="124"/>
      <c r="AM67" s="44" t="s">
        <v>101</v>
      </c>
      <c r="AN67" s="45" t="str">
        <f>IF(NOT(ISBLANK(HostBuild[Server Model])),VLOOKUP(HostBuild[Server Model],[1]!ServerModelsTier[#Data],2,FALSE),"")</f>
        <v>IBM P-Series Tier 2</v>
      </c>
      <c r="AO67" s="45" t="str">
        <f>IF(NOT(ISBLANK(HostBuild[Server Model])),VLOOKUP(HostBuild[Server Model],[1]!ServerModelsTier[#Data],5,FALSE),"")</f>
        <v>pSeries</v>
      </c>
      <c r="AP67" s="44"/>
      <c r="AQ67" s="44" t="s">
        <v>102</v>
      </c>
      <c r="AR67" s="47"/>
      <c r="AS67" s="108"/>
      <c r="AT67" s="47"/>
      <c r="AU67" s="109"/>
      <c r="AV67" s="48"/>
      <c r="AW67" s="124"/>
      <c r="AX67" s="124"/>
      <c r="AY67" s="124"/>
      <c r="AZ67" s="49"/>
      <c r="BA67" s="124"/>
      <c r="BB67" s="124"/>
      <c r="BC67" s="42"/>
      <c r="BD67" s="124"/>
      <c r="BE67" s="124"/>
      <c r="BF67" s="124"/>
      <c r="BG67" s="124"/>
      <c r="BH67" s="124"/>
      <c r="BI67" s="124"/>
      <c r="BJ67" s="124"/>
      <c r="BK67" s="133"/>
      <c r="BL67" s="127"/>
      <c r="BM67" s="129"/>
      <c r="BN67" s="128"/>
      <c r="BO67" s="129"/>
      <c r="BP67" s="130"/>
      <c r="BQ67" s="131"/>
      <c r="BR67" s="125" t="s">
        <v>64</v>
      </c>
      <c r="BS67" s="110">
        <f>IF(HostBuild[Existing Server?]&lt;&gt;"Yes - Inside this BoM",IF(ISNUMBER(HostBuild[RAM 
(GB)]),IF(HostBuild[Existing RAM (GB)]+HostBuild[RAM 
(GB)]&gt;0,IF(HostBuild[Virtual Platform Storage Type]="NAS",110+HostBuild[Existing RAM (GB)]+HostBuild[RAM 
(GB)]*1.75,0),0),0),0)</f>
        <v>0</v>
      </c>
      <c r="BT67" s="111"/>
      <c r="BU67" s="112">
        <f>IF(ISNUMBER(HostBuild[Recommended NAS (GB)]),HostBuild[Recommended NAS (GB)])+HostBuild[Additional NAS (GB)]</f>
        <v>0</v>
      </c>
      <c r="BV67" s="50"/>
      <c r="BW67" s="50"/>
      <c r="BX67" s="133">
        <f>IFERROR((HostBuild[SAN (GB)
End-State
DO NOT USE TO BUILD]+HostBuild[SAN (GB) Shared])*25%,"")</f>
        <v>0</v>
      </c>
      <c r="BY67" s="113">
        <f>IFERROR(HostBuild[Archive
Full (GB)]*15%,"")</f>
        <v>0</v>
      </c>
      <c r="BZ67" s="51"/>
      <c r="CA67" s="51"/>
      <c r="CB67" s="52"/>
      <c r="CC67" s="53"/>
      <c r="CD67" s="52"/>
      <c r="CE67" s="54"/>
      <c r="CF67" s="128"/>
      <c r="CG67" s="114"/>
      <c r="CH67" s="55"/>
      <c r="CI67" s="56"/>
      <c r="CJ67" s="57"/>
      <c r="CK67" s="58"/>
      <c r="CL67" s="59">
        <f>IFERROR(IF(FIND(CL$1,$W67)&gt;0,IF(INDEX([1]!Product_Pricing_Table[#Data],MATCH(CL$1,Products,0),2)="Cores",IF(HostBuild[Use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7" s="59">
        <f>IFERROR(IF(FIND(CM$1,$W67)&gt;0,IF(INDEX([1]!Product_Pricing_Table[#Data],MATCH(CM$1,Products,0),2)="Cores",IF(HostBuild[Use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7" s="59">
        <f>IFERROR(IF(FIND(CN$1,$W67)&gt;0,IF(INDEX([1]!Product_Pricing_Table[#Data],MATCH(CN$1,Products,0),2)="Cores",IF(HostBuild[Use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7" s="59">
        <f>IFERROR(IF(FIND(CO$1,$W67)&gt;0,IF(INDEX([1]!Product_Pricing_Table[#Data],MATCH(CO$1,Products,0),2)="Cores",IF(HostBuild[Use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7" s="59">
        <f>IFERROR(IF(FIND(CP$1,$W67)&gt;0,IF(INDEX([1]!Product_Pricing_Table[#Data],MATCH(CP$1,Products,0),2)="Cores",IF(HostBuild[Use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7" s="59">
        <f>IFERROR(IF(FIND(CQ$1,$W67)&gt;0,IF(INDEX([1]!Product_Pricing_Table[#Data],MATCH(CQ$1,Products,0),2)="Cores",IF(HostBuild[Use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7" s="59">
        <f>IFERROR(IF(FIND(CR$1,$W67)&gt;0,IF(INDEX([1]!Product_Pricing_Table[#Data],MATCH(CR$1,Products,0),2)="Cores",IF(HostBuild[Use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7" s="59">
        <f>IFERROR(IF(FIND(CS$1,$W67)&gt;0,IF(INDEX([1]!Product_Pricing_Table[#Data],MATCH(CS$1,Products,0),2)="Cores",IF(HostBuild[Use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7" s="59">
        <f>IFERROR(IF(FIND(CT$1,$W67)&gt;0,IF(INDEX([1]!Product_Pricing_Table[#Data],MATCH(CT$1,Products,0),2)="Cores",IF(HostBuild[Use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7" s="59">
        <f>IFERROR(IF(FIND(CU$1,$W67)&gt;0,IF(INDEX([1]!Product_Pricing_Table[#Data],MATCH(CU$1,Products,0),2)="Cores",IF(HostBuild[Use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7" s="59">
        <f>IFERROR(IF(FIND(CV$1,$W67)&gt;0,IF(INDEX([1]!Product_Pricing_Table[#Data],MATCH(CV$1,Products,0),2)="Cores",IF(HostBuild[Use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7" s="59">
        <f>IFERROR(IF(FIND(CW$1,$W67)&gt;0,IF(INDEX([1]!Product_Pricing_Table[#Data],MATCH(CW$1,Products,0),2)="Cores",IF(HostBuild[Use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7" s="59">
        <f>IFERROR(IF(FIND(CX$1,$W67)&gt;0,IF(INDEX([1]!Product_Pricing_Table[#Data],MATCH(CX$1,Products,0),2)="Cores",IF(HostBuild[Use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7" s="59">
        <f>IFERROR(IF(FIND(CY$1,$W67)&gt;0,IF(INDEX([1]!Product_Pricing_Table[#Data],MATCH(CY$1,Products,0),2)="Cores",IF(HostBuild[Use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7" s="59">
        <f>IFERROR(IF(FIND(CZ$1,$W67)&gt;0,IF(INDEX([1]!Product_Pricing_Table[#Data],MATCH(CZ$1,Products,0),2)="Cores",IF(HostBuild[Use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7" s="59">
        <f>IFERROR(IF(FIND(DA$1,$W67)&gt;0,IF(INDEX([1]!Product_Pricing_Table[#Data],MATCH(DA$1,Products,0),2)="Cores",IF(HostBuild[Use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7" s="59">
        <f>IFERROR(IF(FIND(DB$1,$W67)&gt;0,IF(INDEX([1]!Product_Pricing_Table[#Data],MATCH(DB$1,Products,0),2)="Cores",IF(HostBuild[Use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7" s="59">
        <f>IFERROR(IF(FIND(DC$1,$W67)&gt;0,IF(INDEX([1]!Product_Pricing_Table[#Data],MATCH(DC$1,Products,0),2)="Cores",IF(HostBuild[Use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7" s="59">
        <f>IFERROR(IF(FIND(DD$1,$W67)&gt;0,IF(INDEX([1]!Product_Pricing_Table[#Data],MATCH(DD$1,Products,0),2)="Cores",IF(HostBuild[Use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7" s="59">
        <f>IFERROR(IF(FIND(DE$1,$W67)&gt;0,IF(INDEX([1]!Product_Pricing_Table[#Data],MATCH(DE$1,Products,0),2)="Cores",IF(HostBuild[Use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7" s="60">
        <f>IFERROR(IF(FIND(DF$1,$W67)&gt;0,IF(INDEX([1]!Product_Pricing_Table[#Data],MATCH(DF$1,Products,0),2)="Cores",IF(HostBuild[Use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7" s="60">
        <f>IFERROR(IF(FIND(DG$1,$W67)&gt;0,IF(INDEX([1]!Product_Pricing_Table[#Data],MATCH(DG$1,Products,0),2)="Cores",IF(HostBuild[Use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7" s="59">
        <f>IFERROR(IF(FIND(DH$1,$W67)&gt;0,IF(INDEX([1]!Product_Pricing_Table[#Data],MATCH(DH$1,Products,0),2)="Cores",IF(HostBuild[Use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7" s="60">
        <f>IFERROR(IF(FIND(DI$1,$W67)&gt;0,IF(INDEX([1]!Product_Pricing_Table[#Data],MATCH(DI$1,Products,0),2)="Cores",IF(HostBuild[Use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7" s="59">
        <f>IFERROR(IF(FIND(DJ$1,$W67)&gt;0,IF(INDEX([1]!Product_Pricing_Table[#Data],MATCH(DJ$1,Products,0),2)="Cores",IF(HostBuild[Use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7" s="59">
        <f>IFERROR(IF(FIND(DK$1,$W67)&gt;0,IF(INDEX([1]!Product_Pricing_Table[#Data],MATCH(DK$1,Products,0),2)="Cores",IF(HostBuild[Use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7" s="59">
        <f>IFERROR(IF(FIND(DL$1,$W67)&gt;0,IF(INDEX([1]!Product_Pricing_Table[#Data],MATCH(DL$1,Products,0),2)="Cores",IF(HostBuild[Use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7" s="59">
        <f>IFERROR(IF(FIND(DM$1,$W67)&gt;0,IF(INDEX([1]!Product_Pricing_Table[#Data],MATCH(DM$1,Products,0),2)="Cores",IF(HostBuild[Use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7" s="59">
        <f>IFERROR(IF(FIND(DN$1,$W67)&gt;0,IF(INDEX([1]!Product_Pricing_Table[#Data],MATCH(DN$1,Products,0),2)="Cores",IF(HostBuild[Use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7" s="59">
        <f>IFERROR(IF(FIND(DO$1,$W67)&gt;0,IF(INDEX([1]!Product_Pricing_Table[#Data],MATCH(DO$1,Products,0),2)="Cores",IF(HostBuild[Use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7" s="59">
        <f>IFERROR(IF(FIND(DP$1,$W67)&gt;0,IF(INDEX([1]!Product_Pricing_Table[#Data],MATCH(DP$1,Products,0),2)="Cores",IF(HostBuild[Use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7" s="59">
        <f>IFERROR(IF(FIND(DQ$1,$W67)&gt;0,IF(INDEX([1]!Product_Pricing_Table[#Data],MATCH(DQ$1,Products,0),2)="Cores",IF(HostBuild[Use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7" s="59">
        <f>IFERROR(IF(FIND(DR$1,$W67)&gt;0,IF(INDEX([1]!Product_Pricing_Table[#Data],MATCH(DR$1,Products,0),2)="Cores",IF(HostBuild[Use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7" s="59">
        <f>IFERROR(IF(FIND(DS$1,$W67)&gt;0,IF(INDEX([1]!Product_Pricing_Table[#Data],MATCH(DS$1,Products,0),2)="Cores",IF(HostBuild[Use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7" s="59">
        <f>IFERROR(IF(FIND(DT$1,$W67)&gt;0,IF(INDEX([1]!Product_Pricing_Table[#Data],MATCH(DT$1,Products,0),2)="Cores",IF(HostBuild[Use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7" s="59">
        <f>IFERROR(IF(FIND(DU$1,$W67)&gt;0,IF(INDEX([1]!Product_Pricing_Table[#Data],MATCH(DU$1,Products,0),2)="Cores",IF(HostBuild[Use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7" s="59">
        <f>IFERROR(IF(FIND(DV$1,$W67)&gt;0,IF(INDEX([1]!Product_Pricing_Table[#Data],MATCH(DV$1,Products,0),2)="Cores",IF(HostBuild[Use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7" s="59">
        <f>IFERROR(IF(FIND(DW$1,$W67)&gt;0,IF(INDEX([1]!Product_Pricing_Table[#Data],MATCH(DW$1,Products,0),2)="Cores",IF(HostBuild[Use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7" s="59">
        <f>IFERROR(IF(FIND(DX$1,$W67)&gt;0,IF(INDEX([1]!Product_Pricing_Table[#Data],MATCH(DX$1,Products,0),2)="Cores",IF(HostBuild[Use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7" s="59">
        <f>IFERROR(IF(FIND(DY$1,$W67)&gt;0,IF(INDEX([1]!Product_Pricing_Table[#Data],MATCH(DY$1,Products,0),2)="Cores",IF(HostBuild[Use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7" s="59">
        <f>IFERROR(IF(FIND(DZ$1,$W67)&gt;0,IF(INDEX([1]!Product_Pricing_Table[#Data],MATCH(DZ$1,Products,0),2)="Cores",IF(HostBuild[Use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7" s="59">
        <f>IFERROR(IF(FIND(EA$1,$W67)&gt;0,IF(INDEX([1]!Product_Pricing_Table[#Data],MATCH(EA$1,Products,0),2)="Cores",IF(HostBuild[Use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7" s="59">
        <f>IFERROR(IF(FIND(EB$1,$W67)&gt;0,IF(INDEX([1]!Product_Pricing_Table[#Data],MATCH(EB$1,Products,0),2)="Cores",IF(HostBuild[Use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7" s="60">
        <f>IFERROR(IF(FIND(EC$1,$W67)&gt;0,IF(INDEX([1]!Product_Pricing_Table[#Data],MATCH(EC$1,Products,0),2)="Cores",IF(HostBuild[Use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7" s="59">
        <f>IFERROR(IF(FIND(ED$1,$W67)&gt;0,IF(INDEX([1]!Product_Pricing_Table[#Data],MATCH(ED$1,Products,0),2)="Cores",IF(HostBuild[Use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7" s="59">
        <f>IFERROR(IF(FIND(EE$1,$W67)&gt;0,IF(INDEX([1]!Product_Pricing_Table[#Data],MATCH(EE$1,Products,0),2)="Cores",IF(HostBuild[Use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7" s="59">
        <f>IFERROR(IF(FIND(EF$1,$W67)&gt;0,IF(INDEX([1]!Product_Pricing_Table[#Data],MATCH(EF$1,Products,0),2)="Cores",IF(HostBuild[Use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7" s="59">
        <f>IFERROR(IF(FIND(EG$1,$W67)&gt;0,IF(INDEX([1]!Product_Pricing_Table[#Data],MATCH(EG$1,Products,0),2)="Cores",IF(HostBuild[Use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7" s="59">
        <f>IFERROR(IF(FIND(EH$1,$W67)&gt;0,IF(INDEX([1]!Product_Pricing_Table[#Data],MATCH(EH$1,Products,0),2)="Cores",IF(HostBuild[Use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7" s="59">
        <f>IFERROR(IF(FIND(EI$1,$W67)&gt;0,IF(INDEX([1]!Product_Pricing_Table[#Data],MATCH(EI$1,Products,0),2)="Cores",IF(HostBuild[Use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7" s="59">
        <f>IFERROR(IF(FIND(EJ$1,$W67)&gt;0,IF(INDEX([1]!Product_Pricing_Table[#Data],MATCH(EJ$1,Products,0),2)="Cores",IF(HostBuild[Use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7" s="60">
        <f>IFERROR(IF(FIND(EK$1,$W67)&gt;0,IF(INDEX([1]!Product_Pricing_Table[#Data],MATCH(EK$1,Products,0),2)="Cores",IF(HostBuild[Use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7" s="61"/>
      <c r="EM67" s="62"/>
      <c r="EN67" s="63"/>
      <c r="EO67"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6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67" s="132">
        <f>(HostBuild[Archive
Full (GB)]+HostBuild[Archive
Incr (GB)])*Storage_DC_Dist_Tape_2014</f>
        <v>0</v>
      </c>
      <c r="ER67" s="132">
        <f>IF(ISNUMBER(HostBuild[Server HW Costs
(Monthly)]),SUM(HostBuild[[#This Row],[Server HW Costs
(Monthly)]:[Tape Costs
(Monthly)]]),0)</f>
        <v>0</v>
      </c>
      <c r="ES67" s="65">
        <f>HostBuild[Software Costs
'[Year 1']
(Monthly)]+HostBuild[Total Hardware Costs
(Monthly)]</f>
        <v>0</v>
      </c>
      <c r="ET67" s="65">
        <f>IFERROR(IF(FIND("Safenet",HostBuild[Server Model]),Safenet_PSE_PL600_Maint,0),0)+IFERROR(IF(FIND("XI52",HostBuild[Server Model]),IBM_DIA_XI52_Maint,0),0)+HostBuild[Software Costs
'[After Year 1']
(Monthly)]+HostBuild[Total Hardware Costs
(Monthly)]</f>
        <v>0</v>
      </c>
      <c r="EU67" s="66">
        <f>SUM(HostBuild[[#This Row],[Server Cost Breakdown]:[Network Cost]])</f>
        <v>0</v>
      </c>
      <c r="EV67" s="67">
        <f>IF(HostBuild[Existing Server?]="Yes - Inside this BoM",0,SUMIF(HostBuild[Alias],HostBuild[Alias],HostBuild[CPU])+SUMIF(HostBuild[Alias],HostBuild[Alias],HostBuild[Existing CPUs]))</f>
        <v>0</v>
      </c>
      <c r="EW67" s="67">
        <f>IF(HostBuild[Existing Server?]="Yes - Inside this BoM",0,SUMIF(HostBuild[Alias],HostBuild[Alias],HostBuild[Cores 
(Licensed Units)])+SUMIF(HostBuild[Alias],HostBuild[Alias],HostBuild[Existing Cores]))</f>
        <v>0</v>
      </c>
      <c r="EX67" s="67">
        <f>IF(HostBuild[Existing Server?]="Yes - Inside this BoM",0,SUMIF(HostBuild[Alias],HostBuild[Alias],HostBuild[RAM 
(GB)])+SUMIF(HostBuild[Alias],HostBuild[Alias],HostBuild[Existing RAM (GB)]))</f>
        <v>0</v>
      </c>
      <c r="EY6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7" s="66">
        <f>IF(ISBLANK(HostBuild[Server Model]),0,IF(HostBuild[Server Tier]="VMware",0,VLOOKUP(HostBuild[Server Tier],[1]!ServerTierRates[#Data],2,0))*HostBuild[CPU]*IF(AND(HostBuild[Server Type]="pSeries",HostBuild[Virtual Platform Storage Type]="Cloud-SAN"),0.25,1))</f>
        <v>0</v>
      </c>
      <c r="FD67" s="66">
        <f>0</f>
        <v>0</v>
      </c>
      <c r="FE67" s="66">
        <f>IF(HostBuild[Server Type]="VMware",HostBuild[RAM 
(GB)]*IF(ISERROR(FIND("DevCloud", HostBuild[Server Model])&gt;0),vRAM_per_vCPU_2014_Monthly,vRAM_per_vCPU_2014_Daily*30),0)</f>
        <v>0</v>
      </c>
      <c r="FF6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7" s="69">
        <f>IF(HostBuild[Server Tier]="VMware",0,IF(LEFT(HostBuild[Existing Server?],3)="Yes",0,IF(OR(HostBuild[Server Type]="Sun",HostBuild[Server Type]="pSeries"),Support_Direct_Server_Sun_per_OS_2014,IF(HostBuild[Server Type]="x86",Support_Direct_Server_x86_Wintel_per_OS_2014,0))))</f>
        <v>0</v>
      </c>
      <c r="FI6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8" spans="1:165" hidden="1">
      <c r="A68" s="122" t="s">
        <v>53</v>
      </c>
      <c r="B68" s="36"/>
      <c r="C68" s="36"/>
      <c r="D68" s="36"/>
      <c r="E68" s="37"/>
      <c r="F68" s="37"/>
      <c r="G68" s="103"/>
      <c r="H68" s="103"/>
      <c r="I68" s="38"/>
      <c r="J68" s="37"/>
      <c r="K68" s="37"/>
      <c r="L68" s="37"/>
      <c r="M68" s="103" t="e">
        <f ca="1">IF(rngIsDate(HostBuild[CTO Acceptance]),"Y","N")</f>
        <v>#NAME?</v>
      </c>
      <c r="N68" s="123" t="s">
        <v>3</v>
      </c>
      <c r="O68" s="39"/>
      <c r="P68" s="39"/>
      <c r="Q68" s="123" t="s">
        <v>1</v>
      </c>
      <c r="R68" s="126" t="str">
        <f>IF(NOT(ISBLANK(HostBuild[Env Label])),IFERROR(VLOOKUP(HostBuild[Env Label],[1]!tEnv[#Data],3,FALSE),""),"")</f>
        <v/>
      </c>
      <c r="S68" s="104"/>
      <c r="T68" s="40"/>
      <c r="U68" s="105"/>
      <c r="V68" s="123" t="s">
        <v>55</v>
      </c>
      <c r="W68" s="123" t="s">
        <v>56</v>
      </c>
      <c r="X68" s="123" t="s">
        <v>57</v>
      </c>
      <c r="Y68" s="123" t="s">
        <v>58</v>
      </c>
      <c r="Z68" s="126" t="str">
        <f>IF(NOT(ISBLANK(HostBuild[[#This Row],[Product 
(Acronym)]])),CONCATENATE(HostBuild[[#This Row],[Type]],"-",HostBuild[[#This Row],[Product 
(Acronym)]]),"")</f>
        <v>AP-ESB</v>
      </c>
      <c r="AA68" s="106"/>
      <c r="AB68" s="106" t="s">
        <v>59</v>
      </c>
      <c r="AC68" s="41"/>
      <c r="AD68" s="42"/>
      <c r="AE68" s="42"/>
      <c r="AF68" s="43" t="s">
        <v>60</v>
      </c>
      <c r="AG68" s="124"/>
      <c r="AH68" s="107"/>
      <c r="AI68" s="124" t="s">
        <v>151</v>
      </c>
      <c r="AJ68" s="123">
        <f>IF(COUNTIF(HostBuild[Alias],HostBuild[Alias]),1/COUNTIF(HostBuild[Alias],HostBuild[Alias]),0)</f>
        <v>1</v>
      </c>
      <c r="AK68" s="124"/>
      <c r="AL68" s="124"/>
      <c r="AM68" s="44" t="s">
        <v>62</v>
      </c>
      <c r="AN68" s="45" t="str">
        <f>IF(NOT(ISBLANK(HostBuild[Server Model])),VLOOKUP(HostBuild[Server Model],[1]!ServerModelsTier[#Data],2,FALSE),"")</f>
        <v>x86 Tier 3</v>
      </c>
      <c r="AO68" s="45" t="str">
        <f>IF(NOT(ISBLANK(HostBuild[Server Model])),VLOOKUP(HostBuild[Server Model],[1]!ServerModelsTier[#Data],5,FALSE),"")</f>
        <v>x86</v>
      </c>
      <c r="AP68" s="44"/>
      <c r="AQ68" s="44" t="s">
        <v>63</v>
      </c>
      <c r="AR68" s="46"/>
      <c r="AS68" s="108"/>
      <c r="AT68" s="47"/>
      <c r="AU68" s="109" t="str">
        <f>IF(IFERROR(FIND("P-Series",HostBuild[Server Tier]),0),CEILING((HostBuild[Existing CPUs]+HostBuild[CPU])*16,8),"")</f>
        <v/>
      </c>
      <c r="AV68" s="48"/>
      <c r="AW68" s="124"/>
      <c r="AX68" s="124"/>
      <c r="AY68" s="124"/>
      <c r="AZ68" s="49"/>
      <c r="BA68" s="124"/>
      <c r="BB68" s="124"/>
      <c r="BC68" s="42"/>
      <c r="BD68" s="124"/>
      <c r="BE68" s="124"/>
      <c r="BF68" s="124"/>
      <c r="BG68" s="124"/>
      <c r="BH68" s="124"/>
      <c r="BI68" s="124"/>
      <c r="BJ68" s="124"/>
      <c r="BK68"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68" s="127">
        <v>60</v>
      </c>
      <c r="BM68" s="129">
        <f>IF(ISNUMBER(HostBuild[Recommended SAN (GB)]),HostBuild[Recommended SAN (GB)])+IF(HostBuild[Additional SAN (GB)]&gt;0,CEILING(HostBuild[Additional SAN (GB)],LUN),-(CEILING(-HostBuild[Additional SAN (GB)],LUN)))</f>
        <v>67.400000000000006</v>
      </c>
      <c r="BN68" s="128"/>
      <c r="BO68" s="129">
        <f>HostBuild[SAN (GB)
NEEDED TODAY]+CEILING(HostBuild[SAN (GB)
RESERVED
DO NOT USE TO BUILD], LUN)</f>
        <v>67.400000000000006</v>
      </c>
      <c r="BP68" s="130"/>
      <c r="BQ68" s="131"/>
      <c r="BR68" s="125" t="s">
        <v>76</v>
      </c>
      <c r="BS68" s="110">
        <f>IF(HostBuild[Existing Server?]&lt;&gt;"Yes - Inside this BoM",IF(ISNUMBER(HostBuild[RAM 
(GB)]),IF(HostBuild[Existing RAM (GB)]+HostBuild[RAM 
(GB)]&gt;0,IF(HostBuild[Virtual Platform Storage Type]="NAS",110+HostBuild[Existing RAM (GB)]+HostBuild[RAM 
(GB)]*1.75,0),0),0),0)</f>
        <v>0</v>
      </c>
      <c r="BT68" s="111"/>
      <c r="BU68" s="112">
        <f>IF(ISNUMBER(HostBuild[Recommended NAS (GB)]),HostBuild[Recommended NAS (GB)])+HostBuild[Additional NAS (GB)]</f>
        <v>0</v>
      </c>
      <c r="BV68" s="50"/>
      <c r="BW68" s="50"/>
      <c r="BX68" s="133">
        <f>IFERROR((HostBuild[SAN (GB)
End-State
DO NOT USE TO BUILD]+HostBuild[SAN (GB) Shared])*25%,"")</f>
        <v>16.850000000000001</v>
      </c>
      <c r="BY68" s="113">
        <f>IFERROR(HostBuild[Archive
Full (GB)]*15%,"")</f>
        <v>2.5275000000000003</v>
      </c>
      <c r="BZ68" s="51"/>
      <c r="CA68" s="51"/>
      <c r="CB68" s="52"/>
      <c r="CC68" s="53"/>
      <c r="CD68" s="52"/>
      <c r="CE68" s="54"/>
      <c r="CF68" s="128"/>
      <c r="CG68" s="114"/>
      <c r="CH68" s="55"/>
      <c r="CI68" s="56"/>
      <c r="CJ68" s="57" t="s">
        <v>65</v>
      </c>
      <c r="CK68" s="58"/>
      <c r="CL68" s="59">
        <f>IFERROR(IF(FIND(CL$1,$W68)&gt;0,IF(INDEX([1]!Product_Pricing_Table[#Data],MATCH(CL$1,Products,0),2)="Cores",IF(HostBuild[Use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8" s="59">
        <f>IFERROR(IF(FIND(CM$1,$W68)&gt;0,IF(INDEX([1]!Product_Pricing_Table[#Data],MATCH(CM$1,Products,0),2)="Cores",IF(HostBuild[Use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8" s="59">
        <f>IFERROR(IF(FIND(CN$1,$W68)&gt;0,IF(INDEX([1]!Product_Pricing_Table[#Data],MATCH(CN$1,Products,0),2)="Cores",IF(HostBuild[Use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8" s="59">
        <f>IFERROR(IF(FIND(CO$1,$W68)&gt;0,IF(INDEX([1]!Product_Pricing_Table[#Data],MATCH(CO$1,Products,0),2)="Cores",IF(HostBuild[Use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8" s="59">
        <f>IFERROR(IF(FIND(CP$1,$W68)&gt;0,IF(INDEX([1]!Product_Pricing_Table[#Data],MATCH(CP$1,Products,0),2)="Cores",IF(HostBuild[Use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8" s="59">
        <f>IFERROR(IF(FIND(CQ$1,$W68)&gt;0,IF(INDEX([1]!Product_Pricing_Table[#Data],MATCH(CQ$1,Products,0),2)="Cores",IF(HostBuild[Use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8" s="59">
        <f>IFERROR(IF(FIND(CR$1,$W68)&gt;0,IF(INDEX([1]!Product_Pricing_Table[#Data],MATCH(CR$1,Products,0),2)="Cores",IF(HostBuild[Use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8" s="59">
        <f>IFERROR(IF(FIND(CS$1,$W68)&gt;0,IF(INDEX([1]!Product_Pricing_Table[#Data],MATCH(CS$1,Products,0),2)="Cores",IF(HostBuild[Use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8" s="59">
        <f>IFERROR(IF(FIND(CT$1,$W68)&gt;0,IF(INDEX([1]!Product_Pricing_Table[#Data],MATCH(CT$1,Products,0),2)="Cores",IF(HostBuild[Use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8" s="59">
        <f>IFERROR(IF(FIND(CU$1,$W68)&gt;0,IF(INDEX([1]!Product_Pricing_Table[#Data],MATCH(CU$1,Products,0),2)="Cores",IF(HostBuild[Use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8" s="59">
        <f>IFERROR(IF(FIND(CV$1,$W68)&gt;0,IF(INDEX([1]!Product_Pricing_Table[#Data],MATCH(CV$1,Products,0),2)="Cores",IF(HostBuild[Use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8" s="59">
        <f>IFERROR(IF(FIND(CW$1,$W68)&gt;0,IF(INDEX([1]!Product_Pricing_Table[#Data],MATCH(CW$1,Products,0),2)="Cores",IF(HostBuild[Use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8" s="59">
        <f>IFERROR(IF(FIND(CX$1,$W68)&gt;0,IF(INDEX([1]!Product_Pricing_Table[#Data],MATCH(CX$1,Products,0),2)="Cores",IF(HostBuild[Use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8" s="59">
        <f>IFERROR(IF(FIND(CY$1,$W68)&gt;0,IF(INDEX([1]!Product_Pricing_Table[#Data],MATCH(CY$1,Products,0),2)="Cores",IF(HostBuild[Use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8" s="59">
        <f>IFERROR(IF(FIND(CZ$1,$W68)&gt;0,IF(INDEX([1]!Product_Pricing_Table[#Data],MATCH(CZ$1,Products,0),2)="Cores",IF(HostBuild[Use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8" s="59">
        <f>IFERROR(IF(FIND(DA$1,$W68)&gt;0,IF(INDEX([1]!Product_Pricing_Table[#Data],MATCH(DA$1,Products,0),2)="Cores",IF(HostBuild[Use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8" s="59">
        <f>IFERROR(IF(FIND(DB$1,$W68)&gt;0,IF(INDEX([1]!Product_Pricing_Table[#Data],MATCH(DB$1,Products,0),2)="Cores",IF(HostBuild[Use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8" s="59">
        <f>IFERROR(IF(FIND(DC$1,$W68)&gt;0,IF(INDEX([1]!Product_Pricing_Table[#Data],MATCH(DC$1,Products,0),2)="Cores",IF(HostBuild[Use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8" s="59">
        <f>IFERROR(IF(FIND(DD$1,$W68)&gt;0,IF(INDEX([1]!Product_Pricing_Table[#Data],MATCH(DD$1,Products,0),2)="Cores",IF(HostBuild[Use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8" s="59">
        <f>IFERROR(IF(FIND(DE$1,$W68)&gt;0,IF(INDEX([1]!Product_Pricing_Table[#Data],MATCH(DE$1,Products,0),2)="Cores",IF(HostBuild[Use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8" s="60">
        <f>IFERROR(IF(FIND(DF$1,$W68)&gt;0,IF(INDEX([1]!Product_Pricing_Table[#Data],MATCH(DF$1,Products,0),2)="Cores",IF(HostBuild[Use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8" s="60">
        <f>IFERROR(IF(FIND(DG$1,$W68)&gt;0,IF(INDEX([1]!Product_Pricing_Table[#Data],MATCH(DG$1,Products,0),2)="Cores",IF(HostBuild[Use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8" s="59">
        <f>IFERROR(IF(FIND(DH$1,$W68)&gt;0,IF(INDEX([1]!Product_Pricing_Table[#Data],MATCH(DH$1,Products,0),2)="Cores",IF(HostBuild[Use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8" s="60">
        <f>IFERROR(IF(FIND(DI$1,$W68)&gt;0,IF(INDEX([1]!Product_Pricing_Table[#Data],MATCH(DI$1,Products,0),2)="Cores",IF(HostBuild[Use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8" s="59">
        <f>IFERROR(IF(FIND(DJ$1,$W68)&gt;0,IF(INDEX([1]!Product_Pricing_Table[#Data],MATCH(DJ$1,Products,0),2)="Cores",IF(HostBuild[Use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8" s="59">
        <f>IFERROR(IF(FIND(DK$1,$W68)&gt;0,IF(INDEX([1]!Product_Pricing_Table[#Data],MATCH(DK$1,Products,0),2)="Cores",IF(HostBuild[Use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8" s="59">
        <f>IFERROR(IF(FIND(DL$1,$W68)&gt;0,IF(INDEX([1]!Product_Pricing_Table[#Data],MATCH(DL$1,Products,0),2)="Cores",IF(HostBuild[Use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8" s="59">
        <f>IFERROR(IF(FIND(DM$1,$W68)&gt;0,IF(INDEX([1]!Product_Pricing_Table[#Data],MATCH(DM$1,Products,0),2)="Cores",IF(HostBuild[Use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8" s="59">
        <f>IFERROR(IF(FIND(DN$1,$W68)&gt;0,IF(INDEX([1]!Product_Pricing_Table[#Data],MATCH(DN$1,Products,0),2)="Cores",IF(HostBuild[Use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8" s="59">
        <f>IFERROR(IF(FIND(DO$1,$W68)&gt;0,IF(INDEX([1]!Product_Pricing_Table[#Data],MATCH(DO$1,Products,0),2)="Cores",IF(HostBuild[Use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8" s="59">
        <f>IFERROR(IF(FIND(DP$1,$W68)&gt;0,IF(INDEX([1]!Product_Pricing_Table[#Data],MATCH(DP$1,Products,0),2)="Cores",IF(HostBuild[Use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8" s="59">
        <f>IFERROR(IF(FIND(DQ$1,$W68)&gt;0,IF(INDEX([1]!Product_Pricing_Table[#Data],MATCH(DQ$1,Products,0),2)="Cores",IF(HostBuild[Use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8" s="59">
        <f>IFERROR(IF(FIND(DR$1,$W68)&gt;0,IF(INDEX([1]!Product_Pricing_Table[#Data],MATCH(DR$1,Products,0),2)="Cores",IF(HostBuild[Use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8" s="59">
        <f>IFERROR(IF(FIND(DS$1,$W68)&gt;0,IF(INDEX([1]!Product_Pricing_Table[#Data],MATCH(DS$1,Products,0),2)="Cores",IF(HostBuild[Use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8" s="59">
        <f>IFERROR(IF(FIND(DT$1,$W68)&gt;0,IF(INDEX([1]!Product_Pricing_Table[#Data],MATCH(DT$1,Products,0),2)="Cores",IF(HostBuild[Use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8" s="59">
        <f>IFERROR(IF(FIND(DU$1,$W68)&gt;0,IF(INDEX([1]!Product_Pricing_Table[#Data],MATCH(DU$1,Products,0),2)="Cores",IF(HostBuild[Use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8" s="59">
        <f>IFERROR(IF(FIND(DV$1,$W68)&gt;0,IF(INDEX([1]!Product_Pricing_Table[#Data],MATCH(DV$1,Products,0),2)="Cores",IF(HostBuild[Use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8" s="59">
        <f>IFERROR(IF(FIND(DW$1,$W68)&gt;0,IF(INDEX([1]!Product_Pricing_Table[#Data],MATCH(DW$1,Products,0),2)="Cores",IF(HostBuild[Use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8" s="59">
        <f>IFERROR(IF(FIND(DX$1,$W68)&gt;0,IF(INDEX([1]!Product_Pricing_Table[#Data],MATCH(DX$1,Products,0),2)="Cores",IF(HostBuild[Use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8" s="59">
        <f>IFERROR(IF(FIND(DY$1,$W68)&gt;0,IF(INDEX([1]!Product_Pricing_Table[#Data],MATCH(DY$1,Products,0),2)="Cores",IF(HostBuild[Use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8" s="59">
        <f>IFERROR(IF(FIND(DZ$1,$W68)&gt;0,IF(INDEX([1]!Product_Pricing_Table[#Data],MATCH(DZ$1,Products,0),2)="Cores",IF(HostBuild[Use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8" s="59">
        <f>IFERROR(IF(FIND(EA$1,$W68)&gt;0,IF(INDEX([1]!Product_Pricing_Table[#Data],MATCH(EA$1,Products,0),2)="Cores",IF(HostBuild[Use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8" s="59">
        <f>IFERROR(IF(FIND(EB$1,$W68)&gt;0,IF(INDEX([1]!Product_Pricing_Table[#Data],MATCH(EB$1,Products,0),2)="Cores",IF(HostBuild[Use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8" s="60">
        <f>IFERROR(IF(FIND(EC$1,$W68)&gt;0,IF(INDEX([1]!Product_Pricing_Table[#Data],MATCH(EC$1,Products,0),2)="Cores",IF(HostBuild[Use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8" s="59">
        <f>IFERROR(IF(FIND(ED$1,$W68)&gt;0,IF(INDEX([1]!Product_Pricing_Table[#Data],MATCH(ED$1,Products,0),2)="Cores",IF(HostBuild[Use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8" s="59">
        <f>IFERROR(IF(FIND(EE$1,$W68)&gt;0,IF(INDEX([1]!Product_Pricing_Table[#Data],MATCH(EE$1,Products,0),2)="Cores",IF(HostBuild[Use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8" s="59">
        <f>IFERROR(IF(FIND(EF$1,$W68)&gt;0,IF(INDEX([1]!Product_Pricing_Table[#Data],MATCH(EF$1,Products,0),2)="Cores",IF(HostBuild[Use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8" s="59">
        <f>IFERROR(IF(FIND(EG$1,$W68)&gt;0,IF(INDEX([1]!Product_Pricing_Table[#Data],MATCH(EG$1,Products,0),2)="Cores",IF(HostBuild[Use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8" s="59">
        <f>IFERROR(IF(FIND(EH$1,$W68)&gt;0,IF(INDEX([1]!Product_Pricing_Table[#Data],MATCH(EH$1,Products,0),2)="Cores",IF(HostBuild[Use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8" s="59">
        <f>IFERROR(IF(FIND(EI$1,$W68)&gt;0,IF(INDEX([1]!Product_Pricing_Table[#Data],MATCH(EI$1,Products,0),2)="Cores",IF(HostBuild[Use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8" s="59">
        <f>IFERROR(IF(FIND(EJ$1,$W68)&gt;0,IF(INDEX([1]!Product_Pricing_Table[#Data],MATCH(EJ$1,Products,0),2)="Cores",IF(HostBuild[Use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8" s="60">
        <f>IFERROR(IF(FIND(EK$1,$W68)&gt;0,IF(INDEX([1]!Product_Pricing_Table[#Data],MATCH(EK$1,Products,0),2)="Cores",IF(HostBuild[Use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8" s="61"/>
      <c r="EM68" s="62"/>
      <c r="EN68" s="63"/>
      <c r="EO68"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6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30.330000000000002</v>
      </c>
      <c r="EQ68" s="132">
        <f>(HostBuild[Archive
Full (GB)]+HostBuild[Archive
Incr (GB)])*Storage_DC_Dist_Tape_2014</f>
        <v>6.7821249999999997</v>
      </c>
      <c r="ER68" s="132">
        <f>IF(ISNUMBER(HostBuild[Server HW Costs
(Monthly)]),SUM(HostBuild[[#This Row],[Server HW Costs
(Monthly)]:[Tape Costs
(Monthly)]]),0)</f>
        <v>37.112124999999999</v>
      </c>
      <c r="ES68" s="65">
        <f>HostBuild[Software Costs
'[Year 1']
(Monthly)]+HostBuild[Total Hardware Costs
(Monthly)]</f>
        <v>37.112124999999999</v>
      </c>
      <c r="ET68" s="65">
        <f>IFERROR(IF(FIND("Safenet",HostBuild[Server Model]),Safenet_PSE_PL600_Maint,0),0)+IFERROR(IF(FIND("XI52",HostBuild[Server Model]),IBM_DIA_XI52_Maint,0),0)+HostBuild[Software Costs
'[After Year 1']
(Monthly)]+HostBuild[Total Hardware Costs
(Monthly)]</f>
        <v>37.112124999999999</v>
      </c>
      <c r="EU68" s="66">
        <f>SUM(HostBuild[[#This Row],[Server Cost Breakdown]:[Network Cost]])</f>
        <v>0</v>
      </c>
      <c r="EV68" s="67">
        <f>IF(HostBuild[Existing Server?]="Yes - Inside this BoM",0,SUMIF(HostBuild[Alias],HostBuild[Alias],HostBuild[CPU])+SUMIF(HostBuild[Alias],HostBuild[Alias],HostBuild[Existing CPUs]))</f>
        <v>0</v>
      </c>
      <c r="EW68" s="67">
        <f>IF(HostBuild[Existing Server?]="Yes - Inside this BoM",0,SUMIF(HostBuild[Alias],HostBuild[Alias],HostBuild[Cores 
(Licensed Units)])+SUMIF(HostBuild[Alias],HostBuild[Alias],HostBuild[Existing Cores]))</f>
        <v>0</v>
      </c>
      <c r="EX68" s="67">
        <f>IF(HostBuild[Existing Server?]="Yes - Inside this BoM",0,SUMIF(HostBuild[Alias],HostBuild[Alias],HostBuild[RAM 
(GB)])+SUMIF(HostBuild[Alias],HostBuild[Alias],HostBuild[Existing RAM (GB)]))</f>
        <v>0</v>
      </c>
      <c r="EY6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8" s="66">
        <f>IF(ISBLANK(HostBuild[Server Model]),0,IF(HostBuild[Server Tier]="VMware",0,VLOOKUP(HostBuild[Server Tier],[1]!ServerTierRates[#Data],2,0))*HostBuild[CPU]*IF(AND(HostBuild[Server Type]="pSeries",HostBuild[Virtual Platform Storage Type]="Cloud-SAN"),0.25,1))</f>
        <v>0</v>
      </c>
      <c r="FD68" s="66">
        <f>0</f>
        <v>0</v>
      </c>
      <c r="FE68" s="66">
        <f>IF(HostBuild[Server Type]="VMware",HostBuild[RAM 
(GB)]*IF(ISERROR(FIND("DevCloud", HostBuild[Server Model])&gt;0),vRAM_per_vCPU_2014_Monthly,vRAM_per_vCPU_2014_Daily*30),0)</f>
        <v>0</v>
      </c>
      <c r="FF6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8" s="69">
        <f>IF(HostBuild[Server Tier]="VMware",0,IF(LEFT(HostBuild[Existing Server?],3)="Yes",0,IF(OR(HostBuild[Server Type]="Sun",HostBuild[Server Type]="pSeries"),Support_Direct_Server_Sun_per_OS_2014,IF(HostBuild[Server Type]="x86",Support_Direct_Server_x86_Wintel_per_OS_2014,0))))</f>
        <v>0</v>
      </c>
      <c r="FI6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69" spans="1:165" hidden="1">
      <c r="A69" s="122" t="s">
        <v>53</v>
      </c>
      <c r="B69" s="36"/>
      <c r="C69" s="36"/>
      <c r="D69" s="36"/>
      <c r="E69" s="37"/>
      <c r="F69" s="37"/>
      <c r="G69" s="103"/>
      <c r="H69" s="103"/>
      <c r="I69" s="38"/>
      <c r="J69" s="37"/>
      <c r="K69" s="37"/>
      <c r="L69" s="37"/>
      <c r="M69" s="103" t="e">
        <f ca="1">IF(rngIsDate(HostBuild[CTO Acceptance]),"Y","N")</f>
        <v>#NAME?</v>
      </c>
      <c r="N69" s="123" t="s">
        <v>3</v>
      </c>
      <c r="O69" s="39"/>
      <c r="P69" s="39"/>
      <c r="Q69" s="123" t="s">
        <v>1</v>
      </c>
      <c r="R69" s="126" t="str">
        <f>IF(NOT(ISBLANK(HostBuild[Env Label])),IFERROR(VLOOKUP(HostBuild[Env Label],[1]!tEnv[#Data],3,FALSE),""),"")</f>
        <v/>
      </c>
      <c r="S69" s="104"/>
      <c r="T69" s="40"/>
      <c r="U69" s="105"/>
      <c r="V69" s="123" t="s">
        <v>55</v>
      </c>
      <c r="W69" s="123" t="s">
        <v>56</v>
      </c>
      <c r="X69" s="123" t="s">
        <v>57</v>
      </c>
      <c r="Y69" s="123" t="s">
        <v>58</v>
      </c>
      <c r="Z69" s="126" t="str">
        <f>IF(NOT(ISBLANK(HostBuild[[#This Row],[Product 
(Acronym)]])),CONCATENATE(HostBuild[[#This Row],[Type]],"-",HostBuild[[#This Row],[Product 
(Acronym)]]),"")</f>
        <v>AP-ESB</v>
      </c>
      <c r="AA69" s="106"/>
      <c r="AB69" s="106" t="s">
        <v>59</v>
      </c>
      <c r="AC69" s="41"/>
      <c r="AD69" s="42"/>
      <c r="AE69" s="42"/>
      <c r="AF69" s="43" t="s">
        <v>60</v>
      </c>
      <c r="AG69" s="124"/>
      <c r="AH69" s="107"/>
      <c r="AI69" s="124" t="s">
        <v>152</v>
      </c>
      <c r="AJ69" s="123">
        <f>IF(COUNTIF(HostBuild[Alias],HostBuild[Alias]),1/COUNTIF(HostBuild[Alias],HostBuild[Alias]),0)</f>
        <v>1</v>
      </c>
      <c r="AK69" s="124"/>
      <c r="AL69" s="124"/>
      <c r="AM69" s="44" t="s">
        <v>62</v>
      </c>
      <c r="AN69" s="45" t="str">
        <f>IF(NOT(ISBLANK(HostBuild[Server Model])),VLOOKUP(HostBuild[Server Model],[1]!ServerModelsTier[#Data],2,FALSE),"")</f>
        <v>x86 Tier 3</v>
      </c>
      <c r="AO69" s="45" t="str">
        <f>IF(NOT(ISBLANK(HostBuild[Server Model])),VLOOKUP(HostBuild[Server Model],[1]!ServerModelsTier[#Data],5,FALSE),"")</f>
        <v>x86</v>
      </c>
      <c r="AP69" s="44"/>
      <c r="AQ69" s="44" t="s">
        <v>63</v>
      </c>
      <c r="AR69" s="46"/>
      <c r="AS69" s="108"/>
      <c r="AT69" s="47"/>
      <c r="AU69" s="109" t="str">
        <f>IF(IFERROR(FIND("P-Series",HostBuild[Server Tier]),0),CEILING((HostBuild[Existing CPUs]+HostBuild[CPU])*16,8),"")</f>
        <v/>
      </c>
      <c r="AV69" s="48"/>
      <c r="AW69" s="124"/>
      <c r="AX69" s="124"/>
      <c r="AY69" s="124"/>
      <c r="AZ69" s="49"/>
      <c r="BA69" s="124"/>
      <c r="BB69" s="124"/>
      <c r="BC69" s="42"/>
      <c r="BD69" s="124"/>
      <c r="BE69" s="124"/>
      <c r="BF69" s="124"/>
      <c r="BG69" s="124"/>
      <c r="BH69" s="124"/>
      <c r="BI69" s="124"/>
      <c r="BJ69" s="124"/>
      <c r="BK69"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69" s="127">
        <v>60</v>
      </c>
      <c r="BM69" s="129">
        <f>IF(ISNUMBER(HostBuild[Recommended SAN (GB)]),HostBuild[Recommended SAN (GB)])+IF(HostBuild[Additional SAN (GB)]&gt;0,CEILING(HostBuild[Additional SAN (GB)],LUN),-(CEILING(-HostBuild[Additional SAN (GB)],LUN)))</f>
        <v>67.400000000000006</v>
      </c>
      <c r="BN69" s="128"/>
      <c r="BO69" s="129">
        <f>HostBuild[SAN (GB)
NEEDED TODAY]+CEILING(HostBuild[SAN (GB)
RESERVED
DO NOT USE TO BUILD], LUN)</f>
        <v>67.400000000000006</v>
      </c>
      <c r="BP69" s="130"/>
      <c r="BQ69" s="131"/>
      <c r="BR69" s="125" t="s">
        <v>76</v>
      </c>
      <c r="BS69" s="110">
        <f>IF(HostBuild[Existing Server?]&lt;&gt;"Yes - Inside this BoM",IF(ISNUMBER(HostBuild[RAM 
(GB)]),IF(HostBuild[Existing RAM (GB)]+HostBuild[RAM 
(GB)]&gt;0,IF(HostBuild[Virtual Platform Storage Type]="NAS",110+HostBuild[Existing RAM (GB)]+HostBuild[RAM 
(GB)]*1.75,0),0),0),0)</f>
        <v>0</v>
      </c>
      <c r="BT69" s="111"/>
      <c r="BU69" s="112">
        <f>IF(ISNUMBER(HostBuild[Recommended NAS (GB)]),HostBuild[Recommended NAS (GB)])+HostBuild[Additional NAS (GB)]</f>
        <v>0</v>
      </c>
      <c r="BV69" s="50"/>
      <c r="BW69" s="50"/>
      <c r="BX69" s="133">
        <f>IFERROR((HostBuild[SAN (GB)
End-State
DO NOT USE TO BUILD]+HostBuild[SAN (GB) Shared])*25%,"")</f>
        <v>16.850000000000001</v>
      </c>
      <c r="BY69" s="113">
        <f>IFERROR(HostBuild[Archive
Full (GB)]*15%,"")</f>
        <v>2.5275000000000003</v>
      </c>
      <c r="BZ69" s="51"/>
      <c r="CA69" s="51"/>
      <c r="CB69" s="52"/>
      <c r="CC69" s="53"/>
      <c r="CD69" s="52"/>
      <c r="CE69" s="54"/>
      <c r="CF69" s="128"/>
      <c r="CG69" s="114"/>
      <c r="CH69" s="55"/>
      <c r="CI69" s="56"/>
      <c r="CJ69" s="57" t="s">
        <v>65</v>
      </c>
      <c r="CK69" s="58"/>
      <c r="CL69" s="59">
        <f>IFERROR(IF(FIND(CL$1,$W69)&gt;0,IF(INDEX([1]!Product_Pricing_Table[#Data],MATCH(CL$1,Products,0),2)="Cores",IF(HostBuild[Use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69" s="59">
        <f>IFERROR(IF(FIND(CM$1,$W69)&gt;0,IF(INDEX([1]!Product_Pricing_Table[#Data],MATCH(CM$1,Products,0),2)="Cores",IF(HostBuild[Use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69" s="59">
        <f>IFERROR(IF(FIND(CN$1,$W69)&gt;0,IF(INDEX([1]!Product_Pricing_Table[#Data],MATCH(CN$1,Products,0),2)="Cores",IF(HostBuild[Use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69" s="59">
        <f>IFERROR(IF(FIND(CO$1,$W69)&gt;0,IF(INDEX([1]!Product_Pricing_Table[#Data],MATCH(CO$1,Products,0),2)="Cores",IF(HostBuild[Use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69" s="59">
        <f>IFERROR(IF(FIND(CP$1,$W69)&gt;0,IF(INDEX([1]!Product_Pricing_Table[#Data],MATCH(CP$1,Products,0),2)="Cores",IF(HostBuild[Use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69" s="59">
        <f>IFERROR(IF(FIND(CQ$1,$W69)&gt;0,IF(INDEX([1]!Product_Pricing_Table[#Data],MATCH(CQ$1,Products,0),2)="Cores",IF(HostBuild[Use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69" s="59">
        <f>IFERROR(IF(FIND(CR$1,$W69)&gt;0,IF(INDEX([1]!Product_Pricing_Table[#Data],MATCH(CR$1,Products,0),2)="Cores",IF(HostBuild[Use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69" s="59">
        <f>IFERROR(IF(FIND(CS$1,$W69)&gt;0,IF(INDEX([1]!Product_Pricing_Table[#Data],MATCH(CS$1,Products,0),2)="Cores",IF(HostBuild[Use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69" s="59">
        <f>IFERROR(IF(FIND(CT$1,$W69)&gt;0,IF(INDEX([1]!Product_Pricing_Table[#Data],MATCH(CT$1,Products,0),2)="Cores",IF(HostBuild[Use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69" s="59">
        <f>IFERROR(IF(FIND(CU$1,$W69)&gt;0,IF(INDEX([1]!Product_Pricing_Table[#Data],MATCH(CU$1,Products,0),2)="Cores",IF(HostBuild[Use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69" s="59">
        <f>IFERROR(IF(FIND(CV$1,$W69)&gt;0,IF(INDEX([1]!Product_Pricing_Table[#Data],MATCH(CV$1,Products,0),2)="Cores",IF(HostBuild[Use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69" s="59">
        <f>IFERROR(IF(FIND(CW$1,$W69)&gt;0,IF(INDEX([1]!Product_Pricing_Table[#Data],MATCH(CW$1,Products,0),2)="Cores",IF(HostBuild[Use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69" s="59">
        <f>IFERROR(IF(FIND(CX$1,$W69)&gt;0,IF(INDEX([1]!Product_Pricing_Table[#Data],MATCH(CX$1,Products,0),2)="Cores",IF(HostBuild[Use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69" s="59">
        <f>IFERROR(IF(FIND(CY$1,$W69)&gt;0,IF(INDEX([1]!Product_Pricing_Table[#Data],MATCH(CY$1,Products,0),2)="Cores",IF(HostBuild[Use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69" s="59">
        <f>IFERROR(IF(FIND(CZ$1,$W69)&gt;0,IF(INDEX([1]!Product_Pricing_Table[#Data],MATCH(CZ$1,Products,0),2)="Cores",IF(HostBuild[Use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69" s="59">
        <f>IFERROR(IF(FIND(DA$1,$W69)&gt;0,IF(INDEX([1]!Product_Pricing_Table[#Data],MATCH(DA$1,Products,0),2)="Cores",IF(HostBuild[Use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69" s="59">
        <f>IFERROR(IF(FIND(DB$1,$W69)&gt;0,IF(INDEX([1]!Product_Pricing_Table[#Data],MATCH(DB$1,Products,0),2)="Cores",IF(HostBuild[Use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69" s="59">
        <f>IFERROR(IF(FIND(DC$1,$W69)&gt;0,IF(INDEX([1]!Product_Pricing_Table[#Data],MATCH(DC$1,Products,0),2)="Cores",IF(HostBuild[Use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69" s="59">
        <f>IFERROR(IF(FIND(DD$1,$W69)&gt;0,IF(INDEX([1]!Product_Pricing_Table[#Data],MATCH(DD$1,Products,0),2)="Cores",IF(HostBuild[Use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69" s="59">
        <f>IFERROR(IF(FIND(DE$1,$W69)&gt;0,IF(INDEX([1]!Product_Pricing_Table[#Data],MATCH(DE$1,Products,0),2)="Cores",IF(HostBuild[Use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69" s="60">
        <f>IFERROR(IF(FIND(DF$1,$W69)&gt;0,IF(INDEX([1]!Product_Pricing_Table[#Data],MATCH(DF$1,Products,0),2)="Cores",IF(HostBuild[Use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69" s="60">
        <f>IFERROR(IF(FIND(DG$1,$W69)&gt;0,IF(INDEX([1]!Product_Pricing_Table[#Data],MATCH(DG$1,Products,0),2)="Cores",IF(HostBuild[Use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69" s="59">
        <f>IFERROR(IF(FIND(DH$1,$W69)&gt;0,IF(INDEX([1]!Product_Pricing_Table[#Data],MATCH(DH$1,Products,0),2)="Cores",IF(HostBuild[Use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69" s="60">
        <f>IFERROR(IF(FIND(DI$1,$W69)&gt;0,IF(INDEX([1]!Product_Pricing_Table[#Data],MATCH(DI$1,Products,0),2)="Cores",IF(HostBuild[Use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69" s="59">
        <f>IFERROR(IF(FIND(DJ$1,$W69)&gt;0,IF(INDEX([1]!Product_Pricing_Table[#Data],MATCH(DJ$1,Products,0),2)="Cores",IF(HostBuild[Use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69" s="59">
        <f>IFERROR(IF(FIND(DK$1,$W69)&gt;0,IF(INDEX([1]!Product_Pricing_Table[#Data],MATCH(DK$1,Products,0),2)="Cores",IF(HostBuild[Use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69" s="59">
        <f>IFERROR(IF(FIND(DL$1,$W69)&gt;0,IF(INDEX([1]!Product_Pricing_Table[#Data],MATCH(DL$1,Products,0),2)="Cores",IF(HostBuild[Use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69" s="59">
        <f>IFERROR(IF(FIND(DM$1,$W69)&gt;0,IF(INDEX([1]!Product_Pricing_Table[#Data],MATCH(DM$1,Products,0),2)="Cores",IF(HostBuild[Use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69" s="59">
        <f>IFERROR(IF(FIND(DN$1,$W69)&gt;0,IF(INDEX([1]!Product_Pricing_Table[#Data],MATCH(DN$1,Products,0),2)="Cores",IF(HostBuild[Use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69" s="59">
        <f>IFERROR(IF(FIND(DO$1,$W69)&gt;0,IF(INDEX([1]!Product_Pricing_Table[#Data],MATCH(DO$1,Products,0),2)="Cores",IF(HostBuild[Use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69" s="59">
        <f>IFERROR(IF(FIND(DP$1,$W69)&gt;0,IF(INDEX([1]!Product_Pricing_Table[#Data],MATCH(DP$1,Products,0),2)="Cores",IF(HostBuild[Use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69" s="59">
        <f>IFERROR(IF(FIND(DQ$1,$W69)&gt;0,IF(INDEX([1]!Product_Pricing_Table[#Data],MATCH(DQ$1,Products,0),2)="Cores",IF(HostBuild[Use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69" s="59">
        <f>IFERROR(IF(FIND(DR$1,$W69)&gt;0,IF(INDEX([1]!Product_Pricing_Table[#Data],MATCH(DR$1,Products,0),2)="Cores",IF(HostBuild[Use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69" s="59">
        <f>IFERROR(IF(FIND(DS$1,$W69)&gt;0,IF(INDEX([1]!Product_Pricing_Table[#Data],MATCH(DS$1,Products,0),2)="Cores",IF(HostBuild[Use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69" s="59">
        <f>IFERROR(IF(FIND(DT$1,$W69)&gt;0,IF(INDEX([1]!Product_Pricing_Table[#Data],MATCH(DT$1,Products,0),2)="Cores",IF(HostBuild[Use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69" s="59">
        <f>IFERROR(IF(FIND(DU$1,$W69)&gt;0,IF(INDEX([1]!Product_Pricing_Table[#Data],MATCH(DU$1,Products,0),2)="Cores",IF(HostBuild[Use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69" s="59">
        <f>IFERROR(IF(FIND(DV$1,$W69)&gt;0,IF(INDEX([1]!Product_Pricing_Table[#Data],MATCH(DV$1,Products,0),2)="Cores",IF(HostBuild[Use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69" s="59">
        <f>IFERROR(IF(FIND(DW$1,$W69)&gt;0,IF(INDEX([1]!Product_Pricing_Table[#Data],MATCH(DW$1,Products,0),2)="Cores",IF(HostBuild[Use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69" s="59">
        <f>IFERROR(IF(FIND(DX$1,$W69)&gt;0,IF(INDEX([1]!Product_Pricing_Table[#Data],MATCH(DX$1,Products,0),2)="Cores",IF(HostBuild[Use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69" s="59">
        <f>IFERROR(IF(FIND(DY$1,$W69)&gt;0,IF(INDEX([1]!Product_Pricing_Table[#Data],MATCH(DY$1,Products,0),2)="Cores",IF(HostBuild[Use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69" s="59">
        <f>IFERROR(IF(FIND(DZ$1,$W69)&gt;0,IF(INDEX([1]!Product_Pricing_Table[#Data],MATCH(DZ$1,Products,0),2)="Cores",IF(HostBuild[Use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69" s="59">
        <f>IFERROR(IF(FIND(EA$1,$W69)&gt;0,IF(INDEX([1]!Product_Pricing_Table[#Data],MATCH(EA$1,Products,0),2)="Cores",IF(HostBuild[Use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69" s="59">
        <f>IFERROR(IF(FIND(EB$1,$W69)&gt;0,IF(INDEX([1]!Product_Pricing_Table[#Data],MATCH(EB$1,Products,0),2)="Cores",IF(HostBuild[Use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69" s="60">
        <f>IFERROR(IF(FIND(EC$1,$W69)&gt;0,IF(INDEX([1]!Product_Pricing_Table[#Data],MATCH(EC$1,Products,0),2)="Cores",IF(HostBuild[Use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69" s="59">
        <f>IFERROR(IF(FIND(ED$1,$W69)&gt;0,IF(INDEX([1]!Product_Pricing_Table[#Data],MATCH(ED$1,Products,0),2)="Cores",IF(HostBuild[Use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69" s="59">
        <f>IFERROR(IF(FIND(EE$1,$W69)&gt;0,IF(INDEX([1]!Product_Pricing_Table[#Data],MATCH(EE$1,Products,0),2)="Cores",IF(HostBuild[Use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69" s="59">
        <f>IFERROR(IF(FIND(EF$1,$W69)&gt;0,IF(INDEX([1]!Product_Pricing_Table[#Data],MATCH(EF$1,Products,0),2)="Cores",IF(HostBuild[Use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69" s="59">
        <f>IFERROR(IF(FIND(EG$1,$W69)&gt;0,IF(INDEX([1]!Product_Pricing_Table[#Data],MATCH(EG$1,Products,0),2)="Cores",IF(HostBuild[Use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69" s="59">
        <f>IFERROR(IF(FIND(EH$1,$W69)&gt;0,IF(INDEX([1]!Product_Pricing_Table[#Data],MATCH(EH$1,Products,0),2)="Cores",IF(HostBuild[Use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69" s="59">
        <f>IFERROR(IF(FIND(EI$1,$W69)&gt;0,IF(INDEX([1]!Product_Pricing_Table[#Data],MATCH(EI$1,Products,0),2)="Cores",IF(HostBuild[Use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69" s="59">
        <f>IFERROR(IF(FIND(EJ$1,$W69)&gt;0,IF(INDEX([1]!Product_Pricing_Table[#Data],MATCH(EJ$1,Products,0),2)="Cores",IF(HostBuild[Use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69" s="60">
        <f>IFERROR(IF(FIND(EK$1,$W69)&gt;0,IF(INDEX([1]!Product_Pricing_Table[#Data],MATCH(EK$1,Products,0),2)="Cores",IF(HostBuild[Use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69" s="61"/>
      <c r="EM69" s="62"/>
      <c r="EN69" s="63"/>
      <c r="EO69"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6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30.330000000000002</v>
      </c>
      <c r="EQ69" s="132">
        <f>(HostBuild[Archive
Full (GB)]+HostBuild[Archive
Incr (GB)])*Storage_DC_Dist_Tape_2014</f>
        <v>6.7821249999999997</v>
      </c>
      <c r="ER69" s="132">
        <f>IF(ISNUMBER(HostBuild[Server HW Costs
(Monthly)]),SUM(HostBuild[[#This Row],[Server HW Costs
(Monthly)]:[Tape Costs
(Monthly)]]),0)</f>
        <v>37.112124999999999</v>
      </c>
      <c r="ES69" s="65">
        <f>HostBuild[Software Costs
'[Year 1']
(Monthly)]+HostBuild[Total Hardware Costs
(Monthly)]</f>
        <v>37.112124999999999</v>
      </c>
      <c r="ET69" s="65">
        <f>IFERROR(IF(FIND("Safenet",HostBuild[Server Model]),Safenet_PSE_PL600_Maint,0),0)+IFERROR(IF(FIND("XI52",HostBuild[Server Model]),IBM_DIA_XI52_Maint,0),0)+HostBuild[Software Costs
'[After Year 1']
(Monthly)]+HostBuild[Total Hardware Costs
(Monthly)]</f>
        <v>37.112124999999999</v>
      </c>
      <c r="EU69" s="66">
        <f>SUM(HostBuild[[#This Row],[Server Cost Breakdown]:[Network Cost]])</f>
        <v>0</v>
      </c>
      <c r="EV69" s="67">
        <f>IF(HostBuild[Existing Server?]="Yes - Inside this BoM",0,SUMIF(HostBuild[Alias],HostBuild[Alias],HostBuild[CPU])+SUMIF(HostBuild[Alias],HostBuild[Alias],HostBuild[Existing CPUs]))</f>
        <v>0</v>
      </c>
      <c r="EW69" s="67">
        <f>IF(HostBuild[Existing Server?]="Yes - Inside this BoM",0,SUMIF(HostBuild[Alias],HostBuild[Alias],HostBuild[Cores 
(Licensed Units)])+SUMIF(HostBuild[Alias],HostBuild[Alias],HostBuild[Existing Cores]))</f>
        <v>0</v>
      </c>
      <c r="EX69" s="67">
        <f>IF(HostBuild[Existing Server?]="Yes - Inside this BoM",0,SUMIF(HostBuild[Alias],HostBuild[Alias],HostBuild[RAM 
(GB)])+SUMIF(HostBuild[Alias],HostBuild[Alias],HostBuild[Existing RAM (GB)]))</f>
        <v>0</v>
      </c>
      <c r="EY6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6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6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6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69" s="66">
        <f>IF(ISBLANK(HostBuild[Server Model]),0,IF(HostBuild[Server Tier]="VMware",0,VLOOKUP(HostBuild[Server Tier],[1]!ServerTierRates[#Data],2,0))*HostBuild[CPU]*IF(AND(HostBuild[Server Type]="pSeries",HostBuild[Virtual Platform Storage Type]="Cloud-SAN"),0.25,1))</f>
        <v>0</v>
      </c>
      <c r="FD69" s="66">
        <f>0</f>
        <v>0</v>
      </c>
      <c r="FE69" s="66">
        <f>IF(HostBuild[Server Type]="VMware",HostBuild[RAM 
(GB)]*IF(ISERROR(FIND("DevCloud", HostBuild[Server Model])&gt;0),vRAM_per_vCPU_2014_Monthly,vRAM_per_vCPU_2014_Daily*30),0)</f>
        <v>0</v>
      </c>
      <c r="FF6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6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69" s="69">
        <f>IF(HostBuild[Server Tier]="VMware",0,IF(LEFT(HostBuild[Existing Server?],3)="Yes",0,IF(OR(HostBuild[Server Type]="Sun",HostBuild[Server Type]="pSeries"),Support_Direct_Server_Sun_per_OS_2014,IF(HostBuild[Server Type]="x86",Support_Direct_Server_x86_Wintel_per_OS_2014,0))))</f>
        <v>0</v>
      </c>
      <c r="FI6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0" spans="1:165" hidden="1">
      <c r="A70" s="122" t="s">
        <v>53</v>
      </c>
      <c r="B70" s="36"/>
      <c r="C70" s="36"/>
      <c r="D70" s="36"/>
      <c r="E70" s="37"/>
      <c r="F70" s="37"/>
      <c r="G70" s="103"/>
      <c r="H70" s="103"/>
      <c r="I70" s="38"/>
      <c r="J70" s="37"/>
      <c r="K70" s="37"/>
      <c r="L70" s="37"/>
      <c r="M70" s="103" t="e">
        <f ca="1">IF(rngIsDate(HostBuild[CTO Acceptance]),"Y","N")</f>
        <v>#NAME?</v>
      </c>
      <c r="N70" s="123" t="s">
        <v>3</v>
      </c>
      <c r="O70" s="39"/>
      <c r="P70" s="39"/>
      <c r="Q70" s="123" t="s">
        <v>1</v>
      </c>
      <c r="R70" s="126" t="str">
        <f>IF(NOT(ISBLANK(HostBuild[Env Label])),IFERROR(VLOOKUP(HostBuild[Env Label],[1]!tEnv[#Data],3,FALSE),""),"")</f>
        <v/>
      </c>
      <c r="S70" s="104"/>
      <c r="T70" s="40"/>
      <c r="U70" s="105"/>
      <c r="V70" s="123" t="s">
        <v>55</v>
      </c>
      <c r="W70" s="123" t="s">
        <v>56</v>
      </c>
      <c r="X70" s="123" t="s">
        <v>57</v>
      </c>
      <c r="Y70" s="123" t="s">
        <v>58</v>
      </c>
      <c r="Z70" s="126" t="str">
        <f>IF(NOT(ISBLANK(HostBuild[[#This Row],[Product 
(Acronym)]])),CONCATENATE(HostBuild[[#This Row],[Type]],"-",HostBuild[[#This Row],[Product 
(Acronym)]]),"")</f>
        <v>AP-ESB</v>
      </c>
      <c r="AA70" s="106"/>
      <c r="AB70" s="106" t="s">
        <v>59</v>
      </c>
      <c r="AC70" s="41"/>
      <c r="AD70" s="42"/>
      <c r="AE70" s="42"/>
      <c r="AF70" s="43" t="s">
        <v>60</v>
      </c>
      <c r="AG70" s="124"/>
      <c r="AH70" s="107"/>
      <c r="AI70" s="124" t="s">
        <v>153</v>
      </c>
      <c r="AJ70" s="123">
        <f>IF(COUNTIF(HostBuild[Alias],HostBuild[Alias]),1/COUNTIF(HostBuild[Alias],HostBuild[Alias]),0)</f>
        <v>1</v>
      </c>
      <c r="AK70" s="124"/>
      <c r="AL70" s="124"/>
      <c r="AM70" s="44" t="s">
        <v>62</v>
      </c>
      <c r="AN70" s="45" t="str">
        <f>IF(NOT(ISBLANK(HostBuild[Server Model])),VLOOKUP(HostBuild[Server Model],[1]!ServerModelsTier[#Data],2,FALSE),"")</f>
        <v>x86 Tier 3</v>
      </c>
      <c r="AO70" s="45" t="str">
        <f>IF(NOT(ISBLANK(HostBuild[Server Model])),VLOOKUP(HostBuild[Server Model],[1]!ServerModelsTier[#Data],5,FALSE),"")</f>
        <v>x86</v>
      </c>
      <c r="AP70" s="44"/>
      <c r="AQ70" s="44" t="s">
        <v>63</v>
      </c>
      <c r="AR70" s="46"/>
      <c r="AS70" s="108"/>
      <c r="AT70" s="47"/>
      <c r="AU70" s="109" t="str">
        <f>IF(IFERROR(FIND("P-Series",HostBuild[Server Tier]),0),CEILING((HostBuild[Existing CPUs]+HostBuild[CPU])*16,8),"")</f>
        <v/>
      </c>
      <c r="AV70" s="48"/>
      <c r="AW70" s="124"/>
      <c r="AX70" s="124"/>
      <c r="AY70" s="124"/>
      <c r="AZ70" s="49"/>
      <c r="BA70" s="124"/>
      <c r="BB70" s="124"/>
      <c r="BC70" s="42"/>
      <c r="BD70" s="124"/>
      <c r="BE70" s="124"/>
      <c r="BF70" s="124"/>
      <c r="BG70" s="124"/>
      <c r="BH70" s="124"/>
      <c r="BI70" s="124"/>
      <c r="BJ70" s="124"/>
      <c r="BK70"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70" s="127">
        <v>60</v>
      </c>
      <c r="BM70" s="129">
        <f>IF(ISNUMBER(HostBuild[Recommended SAN (GB)]),HostBuild[Recommended SAN (GB)])+IF(HostBuild[Additional SAN (GB)]&gt;0,CEILING(HostBuild[Additional SAN (GB)],LUN),-(CEILING(-HostBuild[Additional SAN (GB)],LUN)))</f>
        <v>67.400000000000006</v>
      </c>
      <c r="BN70" s="128"/>
      <c r="BO70" s="129">
        <f>HostBuild[SAN (GB)
NEEDED TODAY]+CEILING(HostBuild[SAN (GB)
RESERVED
DO NOT USE TO BUILD], LUN)</f>
        <v>67.400000000000006</v>
      </c>
      <c r="BP70" s="130"/>
      <c r="BQ70" s="131"/>
      <c r="BR70" s="125" t="s">
        <v>76</v>
      </c>
      <c r="BS70" s="110">
        <f>IF(HostBuild[Existing Server?]&lt;&gt;"Yes - Inside this BoM",IF(ISNUMBER(HostBuild[RAM 
(GB)]),IF(HostBuild[Existing RAM (GB)]+HostBuild[RAM 
(GB)]&gt;0,IF(HostBuild[Virtual Platform Storage Type]="NAS",110+HostBuild[Existing RAM (GB)]+HostBuild[RAM 
(GB)]*1.75,0),0),0),0)</f>
        <v>0</v>
      </c>
      <c r="BT70" s="111"/>
      <c r="BU70" s="112">
        <f>IF(ISNUMBER(HostBuild[Recommended NAS (GB)]),HostBuild[Recommended NAS (GB)])+HostBuild[Additional NAS (GB)]</f>
        <v>0</v>
      </c>
      <c r="BV70" s="50"/>
      <c r="BW70" s="50"/>
      <c r="BX70" s="133">
        <f>IFERROR((HostBuild[SAN (GB)
End-State
DO NOT USE TO BUILD]+HostBuild[SAN (GB) Shared])*25%,"")</f>
        <v>16.850000000000001</v>
      </c>
      <c r="BY70" s="113">
        <f>IFERROR(HostBuild[Archive
Full (GB)]*15%,"")</f>
        <v>2.5275000000000003</v>
      </c>
      <c r="BZ70" s="51"/>
      <c r="CA70" s="51"/>
      <c r="CB70" s="52"/>
      <c r="CC70" s="53"/>
      <c r="CD70" s="52"/>
      <c r="CE70" s="54"/>
      <c r="CF70" s="128"/>
      <c r="CG70" s="114"/>
      <c r="CH70" s="55"/>
      <c r="CI70" s="56"/>
      <c r="CJ70" s="57" t="s">
        <v>65</v>
      </c>
      <c r="CK70" s="58"/>
      <c r="CL70" s="59">
        <f>IFERROR(IF(FIND(CL$1,$W70)&gt;0,IF(INDEX([1]!Product_Pricing_Table[#Data],MATCH(CL$1,Products,0),2)="Cores",IF(HostBuild[Use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0" s="59">
        <f>IFERROR(IF(FIND(CM$1,$W70)&gt;0,IF(INDEX([1]!Product_Pricing_Table[#Data],MATCH(CM$1,Products,0),2)="Cores",IF(HostBuild[Use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0" s="59">
        <f>IFERROR(IF(FIND(CN$1,$W70)&gt;0,IF(INDEX([1]!Product_Pricing_Table[#Data],MATCH(CN$1,Products,0),2)="Cores",IF(HostBuild[Use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0" s="59">
        <f>IFERROR(IF(FIND(CO$1,$W70)&gt;0,IF(INDEX([1]!Product_Pricing_Table[#Data],MATCH(CO$1,Products,0),2)="Cores",IF(HostBuild[Use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0" s="59">
        <f>IFERROR(IF(FIND(CP$1,$W70)&gt;0,IF(INDEX([1]!Product_Pricing_Table[#Data],MATCH(CP$1,Products,0),2)="Cores",IF(HostBuild[Use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0" s="59">
        <f>IFERROR(IF(FIND(CQ$1,$W70)&gt;0,IF(INDEX([1]!Product_Pricing_Table[#Data],MATCH(CQ$1,Products,0),2)="Cores",IF(HostBuild[Use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0" s="59">
        <f>IFERROR(IF(FIND(CR$1,$W70)&gt;0,IF(INDEX([1]!Product_Pricing_Table[#Data],MATCH(CR$1,Products,0),2)="Cores",IF(HostBuild[Use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0" s="59">
        <f>IFERROR(IF(FIND(CS$1,$W70)&gt;0,IF(INDEX([1]!Product_Pricing_Table[#Data],MATCH(CS$1,Products,0),2)="Cores",IF(HostBuild[Use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0" s="59">
        <f>IFERROR(IF(FIND(CT$1,$W70)&gt;0,IF(INDEX([1]!Product_Pricing_Table[#Data],MATCH(CT$1,Products,0),2)="Cores",IF(HostBuild[Use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0" s="59">
        <f>IFERROR(IF(FIND(CU$1,$W70)&gt;0,IF(INDEX([1]!Product_Pricing_Table[#Data],MATCH(CU$1,Products,0),2)="Cores",IF(HostBuild[Use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0" s="59">
        <f>IFERROR(IF(FIND(CV$1,$W70)&gt;0,IF(INDEX([1]!Product_Pricing_Table[#Data],MATCH(CV$1,Products,0),2)="Cores",IF(HostBuild[Use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0" s="59">
        <f>IFERROR(IF(FIND(CW$1,$W70)&gt;0,IF(INDEX([1]!Product_Pricing_Table[#Data],MATCH(CW$1,Products,0),2)="Cores",IF(HostBuild[Use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0" s="59">
        <f>IFERROR(IF(FIND(CX$1,$W70)&gt;0,IF(INDEX([1]!Product_Pricing_Table[#Data],MATCH(CX$1,Products,0),2)="Cores",IF(HostBuild[Use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0" s="59">
        <f>IFERROR(IF(FIND(CY$1,$W70)&gt;0,IF(INDEX([1]!Product_Pricing_Table[#Data],MATCH(CY$1,Products,0),2)="Cores",IF(HostBuild[Use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0" s="59">
        <f>IFERROR(IF(FIND(CZ$1,$W70)&gt;0,IF(INDEX([1]!Product_Pricing_Table[#Data],MATCH(CZ$1,Products,0),2)="Cores",IF(HostBuild[Use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0" s="59">
        <f>IFERROR(IF(FIND(DA$1,$W70)&gt;0,IF(INDEX([1]!Product_Pricing_Table[#Data],MATCH(DA$1,Products,0),2)="Cores",IF(HostBuild[Use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0" s="59">
        <f>IFERROR(IF(FIND(DB$1,$W70)&gt;0,IF(INDEX([1]!Product_Pricing_Table[#Data],MATCH(DB$1,Products,0),2)="Cores",IF(HostBuild[Use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0" s="59">
        <f>IFERROR(IF(FIND(DC$1,$W70)&gt;0,IF(INDEX([1]!Product_Pricing_Table[#Data],MATCH(DC$1,Products,0),2)="Cores",IF(HostBuild[Use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0" s="59">
        <f>IFERROR(IF(FIND(DD$1,$W70)&gt;0,IF(INDEX([1]!Product_Pricing_Table[#Data],MATCH(DD$1,Products,0),2)="Cores",IF(HostBuild[Use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0" s="59">
        <f>IFERROR(IF(FIND(DE$1,$W70)&gt;0,IF(INDEX([1]!Product_Pricing_Table[#Data],MATCH(DE$1,Products,0),2)="Cores",IF(HostBuild[Use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0" s="60">
        <f>IFERROR(IF(FIND(DF$1,$W70)&gt;0,IF(INDEX([1]!Product_Pricing_Table[#Data],MATCH(DF$1,Products,0),2)="Cores",IF(HostBuild[Use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0" s="60">
        <f>IFERROR(IF(FIND(DG$1,$W70)&gt;0,IF(INDEX([1]!Product_Pricing_Table[#Data],MATCH(DG$1,Products,0),2)="Cores",IF(HostBuild[Use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0" s="59">
        <f>IFERROR(IF(FIND(DH$1,$W70)&gt;0,IF(INDEX([1]!Product_Pricing_Table[#Data],MATCH(DH$1,Products,0),2)="Cores",IF(HostBuild[Use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0" s="60">
        <f>IFERROR(IF(FIND(DI$1,$W70)&gt;0,IF(INDEX([1]!Product_Pricing_Table[#Data],MATCH(DI$1,Products,0),2)="Cores",IF(HostBuild[Use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0" s="59">
        <f>IFERROR(IF(FIND(DJ$1,$W70)&gt;0,IF(INDEX([1]!Product_Pricing_Table[#Data],MATCH(DJ$1,Products,0),2)="Cores",IF(HostBuild[Use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0" s="59">
        <f>IFERROR(IF(FIND(DK$1,$W70)&gt;0,IF(INDEX([1]!Product_Pricing_Table[#Data],MATCH(DK$1,Products,0),2)="Cores",IF(HostBuild[Use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0" s="59">
        <f>IFERROR(IF(FIND(DL$1,$W70)&gt;0,IF(INDEX([1]!Product_Pricing_Table[#Data],MATCH(DL$1,Products,0),2)="Cores",IF(HostBuild[Use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0" s="59">
        <f>IFERROR(IF(FIND(DM$1,$W70)&gt;0,IF(INDEX([1]!Product_Pricing_Table[#Data],MATCH(DM$1,Products,0),2)="Cores",IF(HostBuild[Use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0" s="59">
        <f>IFERROR(IF(FIND(DN$1,$W70)&gt;0,IF(INDEX([1]!Product_Pricing_Table[#Data],MATCH(DN$1,Products,0),2)="Cores",IF(HostBuild[Use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0" s="59">
        <f>IFERROR(IF(FIND(DO$1,$W70)&gt;0,IF(INDEX([1]!Product_Pricing_Table[#Data],MATCH(DO$1,Products,0),2)="Cores",IF(HostBuild[Use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0" s="59">
        <f>IFERROR(IF(FIND(DP$1,$W70)&gt;0,IF(INDEX([1]!Product_Pricing_Table[#Data],MATCH(DP$1,Products,0),2)="Cores",IF(HostBuild[Use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0" s="59">
        <f>IFERROR(IF(FIND(DQ$1,$W70)&gt;0,IF(INDEX([1]!Product_Pricing_Table[#Data],MATCH(DQ$1,Products,0),2)="Cores",IF(HostBuild[Use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0" s="59">
        <f>IFERROR(IF(FIND(DR$1,$W70)&gt;0,IF(INDEX([1]!Product_Pricing_Table[#Data],MATCH(DR$1,Products,0),2)="Cores",IF(HostBuild[Use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0" s="59">
        <f>IFERROR(IF(FIND(DS$1,$W70)&gt;0,IF(INDEX([1]!Product_Pricing_Table[#Data],MATCH(DS$1,Products,0),2)="Cores",IF(HostBuild[Use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0" s="59">
        <f>IFERROR(IF(FIND(DT$1,$W70)&gt;0,IF(INDEX([1]!Product_Pricing_Table[#Data],MATCH(DT$1,Products,0),2)="Cores",IF(HostBuild[Use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0" s="59">
        <f>IFERROR(IF(FIND(DU$1,$W70)&gt;0,IF(INDEX([1]!Product_Pricing_Table[#Data],MATCH(DU$1,Products,0),2)="Cores",IF(HostBuild[Use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0" s="59">
        <f>IFERROR(IF(FIND(DV$1,$W70)&gt;0,IF(INDEX([1]!Product_Pricing_Table[#Data],MATCH(DV$1,Products,0),2)="Cores",IF(HostBuild[Use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0" s="59">
        <f>IFERROR(IF(FIND(DW$1,$W70)&gt;0,IF(INDEX([1]!Product_Pricing_Table[#Data],MATCH(DW$1,Products,0),2)="Cores",IF(HostBuild[Use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0" s="59">
        <f>IFERROR(IF(FIND(DX$1,$W70)&gt;0,IF(INDEX([1]!Product_Pricing_Table[#Data],MATCH(DX$1,Products,0),2)="Cores",IF(HostBuild[Use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0" s="59">
        <f>IFERROR(IF(FIND(DY$1,$W70)&gt;0,IF(INDEX([1]!Product_Pricing_Table[#Data],MATCH(DY$1,Products,0),2)="Cores",IF(HostBuild[Use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0" s="59">
        <f>IFERROR(IF(FIND(DZ$1,$W70)&gt;0,IF(INDEX([1]!Product_Pricing_Table[#Data],MATCH(DZ$1,Products,0),2)="Cores",IF(HostBuild[Use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0" s="59">
        <f>IFERROR(IF(FIND(EA$1,$W70)&gt;0,IF(INDEX([1]!Product_Pricing_Table[#Data],MATCH(EA$1,Products,0),2)="Cores",IF(HostBuild[Use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0" s="59">
        <f>IFERROR(IF(FIND(EB$1,$W70)&gt;0,IF(INDEX([1]!Product_Pricing_Table[#Data],MATCH(EB$1,Products,0),2)="Cores",IF(HostBuild[Use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0" s="60">
        <f>IFERROR(IF(FIND(EC$1,$W70)&gt;0,IF(INDEX([1]!Product_Pricing_Table[#Data],MATCH(EC$1,Products,0),2)="Cores",IF(HostBuild[Use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0" s="59">
        <f>IFERROR(IF(FIND(ED$1,$W70)&gt;0,IF(INDEX([1]!Product_Pricing_Table[#Data],MATCH(ED$1,Products,0),2)="Cores",IF(HostBuild[Use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0" s="59">
        <f>IFERROR(IF(FIND(EE$1,$W70)&gt;0,IF(INDEX([1]!Product_Pricing_Table[#Data],MATCH(EE$1,Products,0),2)="Cores",IF(HostBuild[Use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0" s="59">
        <f>IFERROR(IF(FIND(EF$1,$W70)&gt;0,IF(INDEX([1]!Product_Pricing_Table[#Data],MATCH(EF$1,Products,0),2)="Cores",IF(HostBuild[Use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0" s="59">
        <f>IFERROR(IF(FIND(EG$1,$W70)&gt;0,IF(INDEX([1]!Product_Pricing_Table[#Data],MATCH(EG$1,Products,0),2)="Cores",IF(HostBuild[Use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0" s="59">
        <f>IFERROR(IF(FIND(EH$1,$W70)&gt;0,IF(INDEX([1]!Product_Pricing_Table[#Data],MATCH(EH$1,Products,0),2)="Cores",IF(HostBuild[Use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0" s="59">
        <f>IFERROR(IF(FIND(EI$1,$W70)&gt;0,IF(INDEX([1]!Product_Pricing_Table[#Data],MATCH(EI$1,Products,0),2)="Cores",IF(HostBuild[Use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0" s="59">
        <f>IFERROR(IF(FIND(EJ$1,$W70)&gt;0,IF(INDEX([1]!Product_Pricing_Table[#Data],MATCH(EJ$1,Products,0),2)="Cores",IF(HostBuild[Use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0" s="60">
        <f>IFERROR(IF(FIND(EK$1,$W70)&gt;0,IF(INDEX([1]!Product_Pricing_Table[#Data],MATCH(EK$1,Products,0),2)="Cores",IF(HostBuild[Use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0" s="61"/>
      <c r="EM70" s="62"/>
      <c r="EN70" s="63"/>
      <c r="EO70"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7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30.330000000000002</v>
      </c>
      <c r="EQ70" s="132">
        <f>(HostBuild[Archive
Full (GB)]+HostBuild[Archive
Incr (GB)])*Storage_DC_Dist_Tape_2014</f>
        <v>6.7821249999999997</v>
      </c>
      <c r="ER70" s="132">
        <f>IF(ISNUMBER(HostBuild[Server HW Costs
(Monthly)]),SUM(HostBuild[[#This Row],[Server HW Costs
(Monthly)]:[Tape Costs
(Monthly)]]),0)</f>
        <v>37.112124999999999</v>
      </c>
      <c r="ES70" s="65">
        <f>HostBuild[Software Costs
'[Year 1']
(Monthly)]+HostBuild[Total Hardware Costs
(Monthly)]</f>
        <v>37.112124999999999</v>
      </c>
      <c r="ET70" s="65">
        <f>IFERROR(IF(FIND("Safenet",HostBuild[Server Model]),Safenet_PSE_PL600_Maint,0),0)+IFERROR(IF(FIND("XI52",HostBuild[Server Model]),IBM_DIA_XI52_Maint,0),0)+HostBuild[Software Costs
'[After Year 1']
(Monthly)]+HostBuild[Total Hardware Costs
(Monthly)]</f>
        <v>37.112124999999999</v>
      </c>
      <c r="EU70" s="66">
        <f>SUM(HostBuild[[#This Row],[Server Cost Breakdown]:[Network Cost]])</f>
        <v>0</v>
      </c>
      <c r="EV70" s="67">
        <f>IF(HostBuild[Existing Server?]="Yes - Inside this BoM",0,SUMIF(HostBuild[Alias],HostBuild[Alias],HostBuild[CPU])+SUMIF(HostBuild[Alias],HostBuild[Alias],HostBuild[Existing CPUs]))</f>
        <v>0</v>
      </c>
      <c r="EW70" s="67">
        <f>IF(HostBuild[Existing Server?]="Yes - Inside this BoM",0,SUMIF(HostBuild[Alias],HostBuild[Alias],HostBuild[Cores 
(Licensed Units)])+SUMIF(HostBuild[Alias],HostBuild[Alias],HostBuild[Existing Cores]))</f>
        <v>0</v>
      </c>
      <c r="EX70" s="67">
        <f>IF(HostBuild[Existing Server?]="Yes - Inside this BoM",0,SUMIF(HostBuild[Alias],HostBuild[Alias],HostBuild[RAM 
(GB)])+SUMIF(HostBuild[Alias],HostBuild[Alias],HostBuild[Existing RAM (GB)]))</f>
        <v>0</v>
      </c>
      <c r="EY7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0" s="66">
        <f>IF(ISBLANK(HostBuild[Server Model]),0,IF(HostBuild[Server Tier]="VMware",0,VLOOKUP(HostBuild[Server Tier],[1]!ServerTierRates[#Data],2,0))*HostBuild[CPU]*IF(AND(HostBuild[Server Type]="pSeries",HostBuild[Virtual Platform Storage Type]="Cloud-SAN"),0.25,1))</f>
        <v>0</v>
      </c>
      <c r="FD70" s="66">
        <f>0</f>
        <v>0</v>
      </c>
      <c r="FE70" s="66">
        <f>IF(HostBuild[Server Type]="VMware",HostBuild[RAM 
(GB)]*IF(ISERROR(FIND("DevCloud", HostBuild[Server Model])&gt;0),vRAM_per_vCPU_2014_Monthly,vRAM_per_vCPU_2014_Daily*30),0)</f>
        <v>0</v>
      </c>
      <c r="FF7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0" s="69">
        <f>IF(HostBuild[Server Tier]="VMware",0,IF(LEFT(HostBuild[Existing Server?],3)="Yes",0,IF(OR(HostBuild[Server Type]="Sun",HostBuild[Server Type]="pSeries"),Support_Direct_Server_Sun_per_OS_2014,IF(HostBuild[Server Type]="x86",Support_Direct_Server_x86_Wintel_per_OS_2014,0))))</f>
        <v>0</v>
      </c>
      <c r="FI7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1" spans="1:165" hidden="1">
      <c r="A71" s="122" t="s">
        <v>53</v>
      </c>
      <c r="B71" s="36"/>
      <c r="C71" s="36"/>
      <c r="D71" s="36"/>
      <c r="E71" s="37"/>
      <c r="F71" s="37"/>
      <c r="G71" s="103"/>
      <c r="H71" s="103"/>
      <c r="I71" s="38"/>
      <c r="J71" s="37"/>
      <c r="K71" s="37"/>
      <c r="L71" s="37"/>
      <c r="M71" s="103" t="e">
        <f ca="1">IF(rngIsDate(HostBuild[CTO Acceptance]),"Y","N")</f>
        <v>#NAME?</v>
      </c>
      <c r="N71" s="123" t="s">
        <v>3</v>
      </c>
      <c r="O71" s="39"/>
      <c r="P71" s="39"/>
      <c r="Q71" s="123" t="s">
        <v>1</v>
      </c>
      <c r="R71" s="126" t="str">
        <f>IF(NOT(ISBLANK(HostBuild[Env Label])),IFERROR(VLOOKUP(HostBuild[Env Label],[1]!tEnv[#Data],3,FALSE),""),"")</f>
        <v/>
      </c>
      <c r="S71" s="104"/>
      <c r="T71" s="40"/>
      <c r="U71" s="105"/>
      <c r="V71" s="123" t="s">
        <v>55</v>
      </c>
      <c r="W71" s="123" t="s">
        <v>56</v>
      </c>
      <c r="X71" s="123" t="s">
        <v>57</v>
      </c>
      <c r="Y71" s="123" t="s">
        <v>58</v>
      </c>
      <c r="Z71" s="126" t="str">
        <f>IF(NOT(ISBLANK(HostBuild[[#This Row],[Product 
(Acronym)]])),CONCATENATE(HostBuild[[#This Row],[Type]],"-",HostBuild[[#This Row],[Product 
(Acronym)]]),"")</f>
        <v>AP-ESB</v>
      </c>
      <c r="AA71" s="106"/>
      <c r="AB71" s="106" t="s">
        <v>59</v>
      </c>
      <c r="AC71" s="41"/>
      <c r="AD71" s="42"/>
      <c r="AE71" s="42"/>
      <c r="AF71" s="43" t="s">
        <v>60</v>
      </c>
      <c r="AG71" s="124"/>
      <c r="AH71" s="107"/>
      <c r="AI71" s="124" t="s">
        <v>154</v>
      </c>
      <c r="AJ71" s="123">
        <f>IF(COUNTIF(HostBuild[Alias],HostBuild[Alias]),1/COUNTIF(HostBuild[Alias],HostBuild[Alias]),0)</f>
        <v>1</v>
      </c>
      <c r="AK71" s="124"/>
      <c r="AL71" s="124"/>
      <c r="AM71" s="44" t="s">
        <v>62</v>
      </c>
      <c r="AN71" s="45" t="str">
        <f>IF(NOT(ISBLANK(HostBuild[Server Model])),VLOOKUP(HostBuild[Server Model],[1]!ServerModelsTier[#Data],2,FALSE),"")</f>
        <v>x86 Tier 3</v>
      </c>
      <c r="AO71" s="45" t="str">
        <f>IF(NOT(ISBLANK(HostBuild[Server Model])),VLOOKUP(HostBuild[Server Model],[1]!ServerModelsTier[#Data],5,FALSE),"")</f>
        <v>x86</v>
      </c>
      <c r="AP71" s="44"/>
      <c r="AQ71" s="44" t="s">
        <v>63</v>
      </c>
      <c r="AR71" s="46"/>
      <c r="AS71" s="108"/>
      <c r="AT71" s="47"/>
      <c r="AU71" s="109" t="str">
        <f>IF(IFERROR(FIND("P-Series",HostBuild[Server Tier]),0),CEILING((HostBuild[Existing CPUs]+HostBuild[CPU])*16,8),"")</f>
        <v/>
      </c>
      <c r="AV71" s="48"/>
      <c r="AW71" s="124"/>
      <c r="AX71" s="124"/>
      <c r="AY71" s="124"/>
      <c r="AZ71" s="49"/>
      <c r="BA71" s="124"/>
      <c r="BB71" s="124"/>
      <c r="BC71" s="42"/>
      <c r="BD71" s="124"/>
      <c r="BE71" s="124"/>
      <c r="BF71" s="124"/>
      <c r="BG71" s="124"/>
      <c r="BH71" s="124"/>
      <c r="BI71" s="124"/>
      <c r="BJ71" s="124"/>
      <c r="BK71"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71" s="127">
        <v>60</v>
      </c>
      <c r="BM71" s="129">
        <f>IF(ISNUMBER(HostBuild[Recommended SAN (GB)]),HostBuild[Recommended SAN (GB)])+IF(HostBuild[Additional SAN (GB)]&gt;0,CEILING(HostBuild[Additional SAN (GB)],LUN),-(CEILING(-HostBuild[Additional SAN (GB)],LUN)))</f>
        <v>67.400000000000006</v>
      </c>
      <c r="BN71" s="128"/>
      <c r="BO71" s="129">
        <f>HostBuild[SAN (GB)
NEEDED TODAY]+CEILING(HostBuild[SAN (GB)
RESERVED
DO NOT USE TO BUILD], LUN)</f>
        <v>67.400000000000006</v>
      </c>
      <c r="BP71" s="130"/>
      <c r="BQ71" s="131"/>
      <c r="BR71" s="125" t="s">
        <v>76</v>
      </c>
      <c r="BS71" s="110">
        <f>IF(HostBuild[Existing Server?]&lt;&gt;"Yes - Inside this BoM",IF(ISNUMBER(HostBuild[RAM 
(GB)]),IF(HostBuild[Existing RAM (GB)]+HostBuild[RAM 
(GB)]&gt;0,IF(HostBuild[Virtual Platform Storage Type]="NAS",110+HostBuild[Existing RAM (GB)]+HostBuild[RAM 
(GB)]*1.75,0),0),0),0)</f>
        <v>0</v>
      </c>
      <c r="BT71" s="111"/>
      <c r="BU71" s="112">
        <f>IF(ISNUMBER(HostBuild[Recommended NAS (GB)]),HostBuild[Recommended NAS (GB)])+HostBuild[Additional NAS (GB)]</f>
        <v>0</v>
      </c>
      <c r="BV71" s="50"/>
      <c r="BW71" s="50"/>
      <c r="BX71" s="133">
        <f>IFERROR((HostBuild[SAN (GB)
End-State
DO NOT USE TO BUILD]+HostBuild[SAN (GB) Shared])*25%,"")</f>
        <v>16.850000000000001</v>
      </c>
      <c r="BY71" s="113">
        <f>IFERROR(HostBuild[Archive
Full (GB)]*15%,"")</f>
        <v>2.5275000000000003</v>
      </c>
      <c r="BZ71" s="51"/>
      <c r="CA71" s="51"/>
      <c r="CB71" s="52"/>
      <c r="CC71" s="53"/>
      <c r="CD71" s="52"/>
      <c r="CE71" s="54"/>
      <c r="CF71" s="128"/>
      <c r="CG71" s="114"/>
      <c r="CH71" s="55"/>
      <c r="CI71" s="56"/>
      <c r="CJ71" s="57" t="s">
        <v>65</v>
      </c>
      <c r="CK71" s="58"/>
      <c r="CL71" s="59">
        <f>IFERROR(IF(FIND(CL$1,$W71)&gt;0,IF(INDEX([1]!Product_Pricing_Table[#Data],MATCH(CL$1,Products,0),2)="Cores",IF(HostBuild[Use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1" s="59">
        <f>IFERROR(IF(FIND(CM$1,$W71)&gt;0,IF(INDEX([1]!Product_Pricing_Table[#Data],MATCH(CM$1,Products,0),2)="Cores",IF(HostBuild[Use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1" s="59">
        <f>IFERROR(IF(FIND(CN$1,$W71)&gt;0,IF(INDEX([1]!Product_Pricing_Table[#Data],MATCH(CN$1,Products,0),2)="Cores",IF(HostBuild[Use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1" s="59">
        <f>IFERROR(IF(FIND(CO$1,$W71)&gt;0,IF(INDEX([1]!Product_Pricing_Table[#Data],MATCH(CO$1,Products,0),2)="Cores",IF(HostBuild[Use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1" s="59">
        <f>IFERROR(IF(FIND(CP$1,$W71)&gt;0,IF(INDEX([1]!Product_Pricing_Table[#Data],MATCH(CP$1,Products,0),2)="Cores",IF(HostBuild[Use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1" s="59">
        <f>IFERROR(IF(FIND(CQ$1,$W71)&gt;0,IF(INDEX([1]!Product_Pricing_Table[#Data],MATCH(CQ$1,Products,0),2)="Cores",IF(HostBuild[Use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1" s="59">
        <f>IFERROR(IF(FIND(CR$1,$W71)&gt;0,IF(INDEX([1]!Product_Pricing_Table[#Data],MATCH(CR$1,Products,0),2)="Cores",IF(HostBuild[Use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1" s="59">
        <f>IFERROR(IF(FIND(CS$1,$W71)&gt;0,IF(INDEX([1]!Product_Pricing_Table[#Data],MATCH(CS$1,Products,0),2)="Cores",IF(HostBuild[Use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1" s="59">
        <f>IFERROR(IF(FIND(CT$1,$W71)&gt;0,IF(INDEX([1]!Product_Pricing_Table[#Data],MATCH(CT$1,Products,0),2)="Cores",IF(HostBuild[Use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1" s="59">
        <f>IFERROR(IF(FIND(CU$1,$W71)&gt;0,IF(INDEX([1]!Product_Pricing_Table[#Data],MATCH(CU$1,Products,0),2)="Cores",IF(HostBuild[Use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1" s="59">
        <f>IFERROR(IF(FIND(CV$1,$W71)&gt;0,IF(INDEX([1]!Product_Pricing_Table[#Data],MATCH(CV$1,Products,0),2)="Cores",IF(HostBuild[Use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1" s="59">
        <f>IFERROR(IF(FIND(CW$1,$W71)&gt;0,IF(INDEX([1]!Product_Pricing_Table[#Data],MATCH(CW$1,Products,0),2)="Cores",IF(HostBuild[Use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1" s="59">
        <f>IFERROR(IF(FIND(CX$1,$W71)&gt;0,IF(INDEX([1]!Product_Pricing_Table[#Data],MATCH(CX$1,Products,0),2)="Cores",IF(HostBuild[Use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1" s="59">
        <f>IFERROR(IF(FIND(CY$1,$W71)&gt;0,IF(INDEX([1]!Product_Pricing_Table[#Data],MATCH(CY$1,Products,0),2)="Cores",IF(HostBuild[Use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1" s="59">
        <f>IFERROR(IF(FIND(CZ$1,$W71)&gt;0,IF(INDEX([1]!Product_Pricing_Table[#Data],MATCH(CZ$1,Products,0),2)="Cores",IF(HostBuild[Use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1" s="59">
        <f>IFERROR(IF(FIND(DA$1,$W71)&gt;0,IF(INDEX([1]!Product_Pricing_Table[#Data],MATCH(DA$1,Products,0),2)="Cores",IF(HostBuild[Use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1" s="59">
        <f>IFERROR(IF(FIND(DB$1,$W71)&gt;0,IF(INDEX([1]!Product_Pricing_Table[#Data],MATCH(DB$1,Products,0),2)="Cores",IF(HostBuild[Use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1" s="59">
        <f>IFERROR(IF(FIND(DC$1,$W71)&gt;0,IF(INDEX([1]!Product_Pricing_Table[#Data],MATCH(DC$1,Products,0),2)="Cores",IF(HostBuild[Use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1" s="59">
        <f>IFERROR(IF(FIND(DD$1,$W71)&gt;0,IF(INDEX([1]!Product_Pricing_Table[#Data],MATCH(DD$1,Products,0),2)="Cores",IF(HostBuild[Use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1" s="59">
        <f>IFERROR(IF(FIND(DE$1,$W71)&gt;0,IF(INDEX([1]!Product_Pricing_Table[#Data],MATCH(DE$1,Products,0),2)="Cores",IF(HostBuild[Use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1" s="60">
        <f>IFERROR(IF(FIND(DF$1,$W71)&gt;0,IF(INDEX([1]!Product_Pricing_Table[#Data],MATCH(DF$1,Products,0),2)="Cores",IF(HostBuild[Use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1" s="60">
        <f>IFERROR(IF(FIND(DG$1,$W71)&gt;0,IF(INDEX([1]!Product_Pricing_Table[#Data],MATCH(DG$1,Products,0),2)="Cores",IF(HostBuild[Use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1" s="59">
        <f>IFERROR(IF(FIND(DH$1,$W71)&gt;0,IF(INDEX([1]!Product_Pricing_Table[#Data],MATCH(DH$1,Products,0),2)="Cores",IF(HostBuild[Use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1" s="60">
        <f>IFERROR(IF(FIND(DI$1,$W71)&gt;0,IF(INDEX([1]!Product_Pricing_Table[#Data],MATCH(DI$1,Products,0),2)="Cores",IF(HostBuild[Use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1" s="59">
        <f>IFERROR(IF(FIND(DJ$1,$W71)&gt;0,IF(INDEX([1]!Product_Pricing_Table[#Data],MATCH(DJ$1,Products,0),2)="Cores",IF(HostBuild[Use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1" s="59">
        <f>IFERROR(IF(FIND(DK$1,$W71)&gt;0,IF(INDEX([1]!Product_Pricing_Table[#Data],MATCH(DK$1,Products,0),2)="Cores",IF(HostBuild[Use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1" s="59">
        <f>IFERROR(IF(FIND(DL$1,$W71)&gt;0,IF(INDEX([1]!Product_Pricing_Table[#Data],MATCH(DL$1,Products,0),2)="Cores",IF(HostBuild[Use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1" s="59">
        <f>IFERROR(IF(FIND(DM$1,$W71)&gt;0,IF(INDEX([1]!Product_Pricing_Table[#Data],MATCH(DM$1,Products,0),2)="Cores",IF(HostBuild[Use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1" s="59">
        <f>IFERROR(IF(FIND(DN$1,$W71)&gt;0,IF(INDEX([1]!Product_Pricing_Table[#Data],MATCH(DN$1,Products,0),2)="Cores",IF(HostBuild[Use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1" s="59">
        <f>IFERROR(IF(FIND(DO$1,$W71)&gt;0,IF(INDEX([1]!Product_Pricing_Table[#Data],MATCH(DO$1,Products,0),2)="Cores",IF(HostBuild[Use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1" s="59">
        <f>IFERROR(IF(FIND(DP$1,$W71)&gt;0,IF(INDEX([1]!Product_Pricing_Table[#Data],MATCH(DP$1,Products,0),2)="Cores",IF(HostBuild[Use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1" s="59">
        <f>IFERROR(IF(FIND(DQ$1,$W71)&gt;0,IF(INDEX([1]!Product_Pricing_Table[#Data],MATCH(DQ$1,Products,0),2)="Cores",IF(HostBuild[Use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1" s="59">
        <f>IFERROR(IF(FIND(DR$1,$W71)&gt;0,IF(INDEX([1]!Product_Pricing_Table[#Data],MATCH(DR$1,Products,0),2)="Cores",IF(HostBuild[Use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1" s="59">
        <f>IFERROR(IF(FIND(DS$1,$W71)&gt;0,IF(INDEX([1]!Product_Pricing_Table[#Data],MATCH(DS$1,Products,0),2)="Cores",IF(HostBuild[Use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1" s="59">
        <f>IFERROR(IF(FIND(DT$1,$W71)&gt;0,IF(INDEX([1]!Product_Pricing_Table[#Data],MATCH(DT$1,Products,0),2)="Cores",IF(HostBuild[Use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1" s="59">
        <f>IFERROR(IF(FIND(DU$1,$W71)&gt;0,IF(INDEX([1]!Product_Pricing_Table[#Data],MATCH(DU$1,Products,0),2)="Cores",IF(HostBuild[Use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1" s="59">
        <f>IFERROR(IF(FIND(DV$1,$W71)&gt;0,IF(INDEX([1]!Product_Pricing_Table[#Data],MATCH(DV$1,Products,0),2)="Cores",IF(HostBuild[Use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1" s="59">
        <f>IFERROR(IF(FIND(DW$1,$W71)&gt;0,IF(INDEX([1]!Product_Pricing_Table[#Data],MATCH(DW$1,Products,0),2)="Cores",IF(HostBuild[Use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1" s="59">
        <f>IFERROR(IF(FIND(DX$1,$W71)&gt;0,IF(INDEX([1]!Product_Pricing_Table[#Data],MATCH(DX$1,Products,0),2)="Cores",IF(HostBuild[Use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1" s="59">
        <f>IFERROR(IF(FIND(DY$1,$W71)&gt;0,IF(INDEX([1]!Product_Pricing_Table[#Data],MATCH(DY$1,Products,0),2)="Cores",IF(HostBuild[Use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1" s="59">
        <f>IFERROR(IF(FIND(DZ$1,$W71)&gt;0,IF(INDEX([1]!Product_Pricing_Table[#Data],MATCH(DZ$1,Products,0),2)="Cores",IF(HostBuild[Use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1" s="59">
        <f>IFERROR(IF(FIND(EA$1,$W71)&gt;0,IF(INDEX([1]!Product_Pricing_Table[#Data],MATCH(EA$1,Products,0),2)="Cores",IF(HostBuild[Use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1" s="59">
        <f>IFERROR(IF(FIND(EB$1,$W71)&gt;0,IF(INDEX([1]!Product_Pricing_Table[#Data],MATCH(EB$1,Products,0),2)="Cores",IF(HostBuild[Use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1" s="60">
        <f>IFERROR(IF(FIND(EC$1,$W71)&gt;0,IF(INDEX([1]!Product_Pricing_Table[#Data],MATCH(EC$1,Products,0),2)="Cores",IF(HostBuild[Use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1" s="59">
        <f>IFERROR(IF(FIND(ED$1,$W71)&gt;0,IF(INDEX([1]!Product_Pricing_Table[#Data],MATCH(ED$1,Products,0),2)="Cores",IF(HostBuild[Use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1" s="59">
        <f>IFERROR(IF(FIND(EE$1,$W71)&gt;0,IF(INDEX([1]!Product_Pricing_Table[#Data],MATCH(EE$1,Products,0),2)="Cores",IF(HostBuild[Use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1" s="59">
        <f>IFERROR(IF(FIND(EF$1,$W71)&gt;0,IF(INDEX([1]!Product_Pricing_Table[#Data],MATCH(EF$1,Products,0),2)="Cores",IF(HostBuild[Use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1" s="59">
        <f>IFERROR(IF(FIND(EG$1,$W71)&gt;0,IF(INDEX([1]!Product_Pricing_Table[#Data],MATCH(EG$1,Products,0),2)="Cores",IF(HostBuild[Use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1" s="59">
        <f>IFERROR(IF(FIND(EH$1,$W71)&gt;0,IF(INDEX([1]!Product_Pricing_Table[#Data],MATCH(EH$1,Products,0),2)="Cores",IF(HostBuild[Use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1" s="59">
        <f>IFERROR(IF(FIND(EI$1,$W71)&gt;0,IF(INDEX([1]!Product_Pricing_Table[#Data],MATCH(EI$1,Products,0),2)="Cores",IF(HostBuild[Use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1" s="59">
        <f>IFERROR(IF(FIND(EJ$1,$W71)&gt;0,IF(INDEX([1]!Product_Pricing_Table[#Data],MATCH(EJ$1,Products,0),2)="Cores",IF(HostBuild[Use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1" s="60">
        <f>IFERROR(IF(FIND(EK$1,$W71)&gt;0,IF(INDEX([1]!Product_Pricing_Table[#Data],MATCH(EK$1,Products,0),2)="Cores",IF(HostBuild[Use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1" s="61"/>
      <c r="EM71" s="62">
        <v>0</v>
      </c>
      <c r="EN71" s="63">
        <v>0</v>
      </c>
      <c r="EO71"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7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30.330000000000002</v>
      </c>
      <c r="EQ71" s="132">
        <f>(HostBuild[Archive
Full (GB)]+HostBuild[Archive
Incr (GB)])*Storage_DC_Dist_Tape_2014</f>
        <v>6.7821249999999997</v>
      </c>
      <c r="ER71" s="132">
        <f>IF(ISNUMBER(HostBuild[Server HW Costs
(Monthly)]),SUM(HostBuild[[#This Row],[Server HW Costs
(Monthly)]:[Tape Costs
(Monthly)]]),0)</f>
        <v>37.112124999999999</v>
      </c>
      <c r="ES71" s="65">
        <f>HostBuild[Software Costs
'[Year 1']
(Monthly)]+HostBuild[Total Hardware Costs
(Monthly)]</f>
        <v>37.112124999999999</v>
      </c>
      <c r="ET71" s="65">
        <f>IFERROR(IF(FIND("Safenet",HostBuild[Server Model]),Safenet_PSE_PL600_Maint,0),0)+IFERROR(IF(FIND("XI52",HostBuild[Server Model]),IBM_DIA_XI52_Maint,0),0)+HostBuild[Software Costs
'[After Year 1']
(Monthly)]+HostBuild[Total Hardware Costs
(Monthly)]</f>
        <v>37.112124999999999</v>
      </c>
      <c r="EU71" s="66">
        <f>SUM(HostBuild[[#This Row],[Server Cost Breakdown]:[Network Cost]])</f>
        <v>0</v>
      </c>
      <c r="EV71" s="67">
        <f>IF(HostBuild[Existing Server?]="Yes - Inside this BoM",0,SUMIF(HostBuild[Alias],HostBuild[Alias],HostBuild[CPU])+SUMIF(HostBuild[Alias],HostBuild[Alias],HostBuild[Existing CPUs]))</f>
        <v>0</v>
      </c>
      <c r="EW71" s="67">
        <f>IF(HostBuild[Existing Server?]="Yes - Inside this BoM",0,SUMIF(HostBuild[Alias],HostBuild[Alias],HostBuild[Cores 
(Licensed Units)])+SUMIF(HostBuild[Alias],HostBuild[Alias],HostBuild[Existing Cores]))</f>
        <v>0</v>
      </c>
      <c r="EX71" s="67">
        <f>IF(HostBuild[Existing Server?]="Yes - Inside this BoM",0,SUMIF(HostBuild[Alias],HostBuild[Alias],HostBuild[RAM 
(GB)])+SUMIF(HostBuild[Alias],HostBuild[Alias],HostBuild[Existing RAM (GB)]))</f>
        <v>0</v>
      </c>
      <c r="EY7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1" s="66">
        <f>IF(ISBLANK(HostBuild[Server Model]),0,IF(HostBuild[Server Tier]="VMware",0,VLOOKUP(HostBuild[Server Tier],[1]!ServerTierRates[#Data],2,0))*HostBuild[CPU]*IF(AND(HostBuild[Server Type]="pSeries",HostBuild[Virtual Platform Storage Type]="Cloud-SAN"),0.25,1))</f>
        <v>0</v>
      </c>
      <c r="FD71" s="66">
        <f>0</f>
        <v>0</v>
      </c>
      <c r="FE71" s="66">
        <f>IF(HostBuild[Server Type]="VMware",HostBuild[RAM 
(GB)]*IF(ISERROR(FIND("DevCloud", HostBuild[Server Model])&gt;0),vRAM_per_vCPU_2014_Monthly,vRAM_per_vCPU_2014_Daily*30),0)</f>
        <v>0</v>
      </c>
      <c r="FF7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1" s="69">
        <f>IF(HostBuild[Server Tier]="VMware",0,IF(LEFT(HostBuild[Existing Server?],3)="Yes",0,IF(OR(HostBuild[Server Type]="Sun",HostBuild[Server Type]="pSeries"),Support_Direct_Server_Sun_per_OS_2014,IF(HostBuild[Server Type]="x86",Support_Direct_Server_x86_Wintel_per_OS_2014,0))))</f>
        <v>0</v>
      </c>
      <c r="FI7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2" spans="1:165" hidden="1">
      <c r="A72" s="122" t="s">
        <v>53</v>
      </c>
      <c r="B72" s="36"/>
      <c r="C72" s="36"/>
      <c r="D72" s="36"/>
      <c r="E72" s="37"/>
      <c r="F72" s="37"/>
      <c r="G72" s="103"/>
      <c r="H72" s="103"/>
      <c r="I72" s="38"/>
      <c r="J72" s="37"/>
      <c r="K72" s="37"/>
      <c r="L72" s="37"/>
      <c r="M72" s="103" t="e">
        <f ca="1">IF(rngIsDate(HostBuild[CTO Acceptance]),"Y","N")</f>
        <v>#NAME?</v>
      </c>
      <c r="N72" s="123" t="s">
        <v>3</v>
      </c>
      <c r="O72" s="39"/>
      <c r="P72" s="39"/>
      <c r="Q72" s="123" t="s">
        <v>1</v>
      </c>
      <c r="R72" s="126" t="str">
        <f>IF(NOT(ISBLANK(HostBuild[Env Label])),IFERROR(VLOOKUP(HostBuild[Env Label],[1]!tEnv[#Data],3,FALSE),""),"")</f>
        <v/>
      </c>
      <c r="S72" s="104"/>
      <c r="T72" s="40"/>
      <c r="U72" s="105"/>
      <c r="V72" s="123" t="s">
        <v>69</v>
      </c>
      <c r="W72" s="123" t="s">
        <v>70</v>
      </c>
      <c r="X72" s="123" t="s">
        <v>57</v>
      </c>
      <c r="Y72" s="123" t="s">
        <v>58</v>
      </c>
      <c r="Z72" s="126" t="str">
        <f>IF(NOT(ISBLANK(HostBuild[[#This Row],[Product 
(Acronym)]])),CONCATENATE(HostBuild[[#This Row],[Type]],"-",HostBuild[[#This Row],[Product 
(Acronym)]]),"")</f>
        <v>AP-ESB</v>
      </c>
      <c r="AA72" s="106"/>
      <c r="AB72" s="106" t="s">
        <v>59</v>
      </c>
      <c r="AC72" s="41"/>
      <c r="AD72" s="42"/>
      <c r="AE72" s="42"/>
      <c r="AF72" s="43" t="s">
        <v>60</v>
      </c>
      <c r="AG72" s="124"/>
      <c r="AH72" s="107"/>
      <c r="AI72" s="124" t="s">
        <v>155</v>
      </c>
      <c r="AJ72" s="123">
        <f>IF(COUNTIF(HostBuild[Alias],HostBuild[Alias]),1/COUNTIF(HostBuild[Alias],HostBuild[Alias]),0)</f>
        <v>1</v>
      </c>
      <c r="AK72" s="124"/>
      <c r="AL72" s="124"/>
      <c r="AM72" s="44" t="s">
        <v>62</v>
      </c>
      <c r="AN72" s="45" t="str">
        <f>IF(NOT(ISBLANK(HostBuild[Server Model])),VLOOKUP(HostBuild[Server Model],[1]!ServerModelsTier[#Data],2,FALSE),"")</f>
        <v>x86 Tier 3</v>
      </c>
      <c r="AO72" s="45" t="str">
        <f>IF(NOT(ISBLANK(HostBuild[Server Model])),VLOOKUP(HostBuild[Server Model],[1]!ServerModelsTier[#Data],5,FALSE),"")</f>
        <v>x86</v>
      </c>
      <c r="AP72" s="44"/>
      <c r="AQ72" s="44" t="s">
        <v>63</v>
      </c>
      <c r="AR72" s="46"/>
      <c r="AS72" s="108"/>
      <c r="AT72" s="47"/>
      <c r="AU72" s="109" t="str">
        <f>IF(IFERROR(FIND("P-Series",HostBuild[Server Tier]),0),CEILING((HostBuild[Existing CPUs]+HostBuild[CPU])*16,8),"")</f>
        <v/>
      </c>
      <c r="AV72" s="48"/>
      <c r="AW72" s="124"/>
      <c r="AX72" s="124"/>
      <c r="AY72" s="124"/>
      <c r="AZ72" s="49"/>
      <c r="BA72" s="124"/>
      <c r="BB72" s="124"/>
      <c r="BC72" s="42"/>
      <c r="BD72" s="124"/>
      <c r="BE72" s="124"/>
      <c r="BF72" s="124"/>
      <c r="BG72" s="124"/>
      <c r="BH72" s="124"/>
      <c r="BI72" s="124"/>
      <c r="BJ72" s="124"/>
      <c r="BK72"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72" s="127">
        <v>60</v>
      </c>
      <c r="BM72" s="129">
        <f>IF(ISNUMBER(HostBuild[Recommended SAN (GB)]),HostBuild[Recommended SAN (GB)])+IF(HostBuild[Additional SAN (GB)]&gt;0,CEILING(HostBuild[Additional SAN (GB)],LUN),-(CEILING(-HostBuild[Additional SAN (GB)],LUN)))</f>
        <v>67.400000000000006</v>
      </c>
      <c r="BN72" s="128"/>
      <c r="BO72" s="129">
        <f>HostBuild[SAN (GB)
NEEDED TODAY]+CEILING(HostBuild[SAN (GB)
RESERVED
DO NOT USE TO BUILD], LUN)</f>
        <v>67.400000000000006</v>
      </c>
      <c r="BP72" s="130">
        <v>60</v>
      </c>
      <c r="BQ72" s="131"/>
      <c r="BR72" s="125" t="s">
        <v>76</v>
      </c>
      <c r="BS72" s="110">
        <f>IF(HostBuild[Existing Server?]&lt;&gt;"Yes - Inside this BoM",IF(ISNUMBER(HostBuild[RAM 
(GB)]),IF(HostBuild[Existing RAM (GB)]+HostBuild[RAM 
(GB)]&gt;0,IF(HostBuild[Virtual Platform Storage Type]="NAS",110+HostBuild[Existing RAM (GB)]+HostBuild[RAM 
(GB)]*1.75,0),0),0),0)</f>
        <v>0</v>
      </c>
      <c r="BT72" s="111"/>
      <c r="BU72" s="112">
        <f>IF(ISNUMBER(HostBuild[Recommended NAS (GB)]),HostBuild[Recommended NAS (GB)])+HostBuild[Additional NAS (GB)]</f>
        <v>0</v>
      </c>
      <c r="BV72" s="50"/>
      <c r="BW72" s="50"/>
      <c r="BX72" s="133">
        <f>IFERROR((HostBuild[SAN (GB)
End-State
DO NOT USE TO BUILD]+HostBuild[SAN (GB) Shared])*25%,"")</f>
        <v>31.85</v>
      </c>
      <c r="BY72" s="113">
        <f>IFERROR(HostBuild[Archive
Full (GB)]*15%,"")</f>
        <v>4.7774999999999999</v>
      </c>
      <c r="BZ72" s="51"/>
      <c r="CA72" s="51"/>
      <c r="CB72" s="52"/>
      <c r="CC72" s="53"/>
      <c r="CD72" s="52"/>
      <c r="CE72" s="54"/>
      <c r="CF72" s="128"/>
      <c r="CG72" s="114"/>
      <c r="CH72" s="55"/>
      <c r="CI72" s="56"/>
      <c r="CJ72" s="57" t="s">
        <v>65</v>
      </c>
      <c r="CK72" s="58"/>
      <c r="CL72" s="59">
        <f>IFERROR(IF(FIND(CL$1,$W72)&gt;0,IF(INDEX([1]!Product_Pricing_Table[#Data],MATCH(CL$1,Products,0),2)="Cores",IF(HostBuild[Use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2" s="59">
        <f>IFERROR(IF(FIND(CM$1,$W72)&gt;0,IF(INDEX([1]!Product_Pricing_Table[#Data],MATCH(CM$1,Products,0),2)="Cores",IF(HostBuild[Use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2" s="59">
        <f>IFERROR(IF(FIND(CN$1,$W72)&gt;0,IF(INDEX([1]!Product_Pricing_Table[#Data],MATCH(CN$1,Products,0),2)="Cores",IF(HostBuild[Use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2" s="59">
        <f>IFERROR(IF(FIND(CO$1,$W72)&gt;0,IF(INDEX([1]!Product_Pricing_Table[#Data],MATCH(CO$1,Products,0),2)="Cores",IF(HostBuild[Use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2" s="59">
        <f>IFERROR(IF(FIND(CP$1,$W72)&gt;0,IF(INDEX([1]!Product_Pricing_Table[#Data],MATCH(CP$1,Products,0),2)="Cores",IF(HostBuild[Use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2" s="59">
        <f>IFERROR(IF(FIND(CQ$1,$W72)&gt;0,IF(INDEX([1]!Product_Pricing_Table[#Data],MATCH(CQ$1,Products,0),2)="Cores",IF(HostBuild[Use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2" s="59">
        <f>IFERROR(IF(FIND(CR$1,$W72)&gt;0,IF(INDEX([1]!Product_Pricing_Table[#Data],MATCH(CR$1,Products,0),2)="Cores",IF(HostBuild[Use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2" s="59">
        <f>IFERROR(IF(FIND(CS$1,$W72)&gt;0,IF(INDEX([1]!Product_Pricing_Table[#Data],MATCH(CS$1,Products,0),2)="Cores",IF(HostBuild[Use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2" s="59">
        <f>IFERROR(IF(FIND(CT$1,$W72)&gt;0,IF(INDEX([1]!Product_Pricing_Table[#Data],MATCH(CT$1,Products,0),2)="Cores",IF(HostBuild[Use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2" s="59">
        <f>IFERROR(IF(FIND(CU$1,$W72)&gt;0,IF(INDEX([1]!Product_Pricing_Table[#Data],MATCH(CU$1,Products,0),2)="Cores",IF(HostBuild[Use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2" s="59">
        <f>IFERROR(IF(FIND(CV$1,$W72)&gt;0,IF(INDEX([1]!Product_Pricing_Table[#Data],MATCH(CV$1,Products,0),2)="Cores",IF(HostBuild[Use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2" s="59">
        <f>IFERROR(IF(FIND(CW$1,$W72)&gt;0,IF(INDEX([1]!Product_Pricing_Table[#Data],MATCH(CW$1,Products,0),2)="Cores",IF(HostBuild[Use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2" s="59">
        <f>IFERROR(IF(FIND(CX$1,$W72)&gt;0,IF(INDEX([1]!Product_Pricing_Table[#Data],MATCH(CX$1,Products,0),2)="Cores",IF(HostBuild[Use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2" s="59">
        <f>IFERROR(IF(FIND(CY$1,$W72)&gt;0,IF(INDEX([1]!Product_Pricing_Table[#Data],MATCH(CY$1,Products,0),2)="Cores",IF(HostBuild[Use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2" s="59">
        <f>IFERROR(IF(FIND(CZ$1,$W72)&gt;0,IF(INDEX([1]!Product_Pricing_Table[#Data],MATCH(CZ$1,Products,0),2)="Cores",IF(HostBuild[Use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2" s="59">
        <f>IFERROR(IF(FIND(DA$1,$W72)&gt;0,IF(INDEX([1]!Product_Pricing_Table[#Data],MATCH(DA$1,Products,0),2)="Cores",IF(HostBuild[Use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2" s="59">
        <f>IFERROR(IF(FIND(DB$1,$W72)&gt;0,IF(INDEX([1]!Product_Pricing_Table[#Data],MATCH(DB$1,Products,0),2)="Cores",IF(HostBuild[Use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2" s="59">
        <f>IFERROR(IF(FIND(DC$1,$W72)&gt;0,IF(INDEX([1]!Product_Pricing_Table[#Data],MATCH(DC$1,Products,0),2)="Cores",IF(HostBuild[Use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2" s="59">
        <f>IFERROR(IF(FIND(DD$1,$W72)&gt;0,IF(INDEX([1]!Product_Pricing_Table[#Data],MATCH(DD$1,Products,0),2)="Cores",IF(HostBuild[Use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2" s="59">
        <f>IFERROR(IF(FIND(DE$1,$W72)&gt;0,IF(INDEX([1]!Product_Pricing_Table[#Data],MATCH(DE$1,Products,0),2)="Cores",IF(HostBuild[Use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2" s="60">
        <f>IFERROR(IF(FIND(DF$1,$W72)&gt;0,IF(INDEX([1]!Product_Pricing_Table[#Data],MATCH(DF$1,Products,0),2)="Cores",IF(HostBuild[Use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2" s="60">
        <f>IFERROR(IF(FIND(DG$1,$W72)&gt;0,IF(INDEX([1]!Product_Pricing_Table[#Data],MATCH(DG$1,Products,0),2)="Cores",IF(HostBuild[Use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2" s="59">
        <f>IFERROR(IF(FIND(DH$1,$W72)&gt;0,IF(INDEX([1]!Product_Pricing_Table[#Data],MATCH(DH$1,Products,0),2)="Cores",IF(HostBuild[Use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2" s="60">
        <f>IFERROR(IF(FIND(DI$1,$W72)&gt;0,IF(INDEX([1]!Product_Pricing_Table[#Data],MATCH(DI$1,Products,0),2)="Cores",IF(HostBuild[Use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2" s="59">
        <f>IFERROR(IF(FIND(DJ$1,$W72)&gt;0,IF(INDEX([1]!Product_Pricing_Table[#Data],MATCH(DJ$1,Products,0),2)="Cores",IF(HostBuild[Use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2" s="59">
        <f>IFERROR(IF(FIND(DK$1,$W72)&gt;0,IF(INDEX([1]!Product_Pricing_Table[#Data],MATCH(DK$1,Products,0),2)="Cores",IF(HostBuild[Use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2" s="59">
        <f>IFERROR(IF(FIND(DL$1,$W72)&gt;0,IF(INDEX([1]!Product_Pricing_Table[#Data],MATCH(DL$1,Products,0),2)="Cores",IF(HostBuild[Use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2" s="59">
        <f>IFERROR(IF(FIND(DM$1,$W72)&gt;0,IF(INDEX([1]!Product_Pricing_Table[#Data],MATCH(DM$1,Products,0),2)="Cores",IF(HostBuild[Use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2" s="59">
        <f>IFERROR(IF(FIND(DN$1,$W72)&gt;0,IF(INDEX([1]!Product_Pricing_Table[#Data],MATCH(DN$1,Products,0),2)="Cores",IF(HostBuild[Use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2" s="59">
        <f>IFERROR(IF(FIND(DO$1,$W72)&gt;0,IF(INDEX([1]!Product_Pricing_Table[#Data],MATCH(DO$1,Products,0),2)="Cores",IF(HostBuild[Use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2" s="59">
        <f>IFERROR(IF(FIND(DP$1,$W72)&gt;0,IF(INDEX([1]!Product_Pricing_Table[#Data],MATCH(DP$1,Products,0),2)="Cores",IF(HostBuild[Use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2" s="59">
        <f>IFERROR(IF(FIND(DQ$1,$W72)&gt;0,IF(INDEX([1]!Product_Pricing_Table[#Data],MATCH(DQ$1,Products,0),2)="Cores",IF(HostBuild[Use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2" s="59">
        <f>IFERROR(IF(FIND(DR$1,$W72)&gt;0,IF(INDEX([1]!Product_Pricing_Table[#Data],MATCH(DR$1,Products,0),2)="Cores",IF(HostBuild[Use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2" s="59">
        <f>IFERROR(IF(FIND(DS$1,$W72)&gt;0,IF(INDEX([1]!Product_Pricing_Table[#Data],MATCH(DS$1,Products,0),2)="Cores",IF(HostBuild[Use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2" s="59">
        <f>IFERROR(IF(FIND(DT$1,$W72)&gt;0,IF(INDEX([1]!Product_Pricing_Table[#Data],MATCH(DT$1,Products,0),2)="Cores",IF(HostBuild[Use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2" s="59">
        <f>IFERROR(IF(FIND(DU$1,$W72)&gt;0,IF(INDEX([1]!Product_Pricing_Table[#Data],MATCH(DU$1,Products,0),2)="Cores",IF(HostBuild[Use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2" s="59">
        <f>IFERROR(IF(FIND(DV$1,$W72)&gt;0,IF(INDEX([1]!Product_Pricing_Table[#Data],MATCH(DV$1,Products,0),2)="Cores",IF(HostBuild[Use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2" s="59">
        <f>IFERROR(IF(FIND(DW$1,$W72)&gt;0,IF(INDEX([1]!Product_Pricing_Table[#Data],MATCH(DW$1,Products,0),2)="Cores",IF(HostBuild[Use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2" s="59">
        <f>IFERROR(IF(FIND(DX$1,$W72)&gt;0,IF(INDEX([1]!Product_Pricing_Table[#Data],MATCH(DX$1,Products,0),2)="Cores",IF(HostBuild[Use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2" s="59">
        <f>IFERROR(IF(FIND(DY$1,$W72)&gt;0,IF(INDEX([1]!Product_Pricing_Table[#Data],MATCH(DY$1,Products,0),2)="Cores",IF(HostBuild[Use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2" s="59">
        <f>IFERROR(IF(FIND(DZ$1,$W72)&gt;0,IF(INDEX([1]!Product_Pricing_Table[#Data],MATCH(DZ$1,Products,0),2)="Cores",IF(HostBuild[Use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2" s="59">
        <f>IFERROR(IF(FIND(EA$1,$W72)&gt;0,IF(INDEX([1]!Product_Pricing_Table[#Data],MATCH(EA$1,Products,0),2)="Cores",IF(HostBuild[Use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2" s="59">
        <f>IFERROR(IF(FIND(EB$1,$W72)&gt;0,IF(INDEX([1]!Product_Pricing_Table[#Data],MATCH(EB$1,Products,0),2)="Cores",IF(HostBuild[Use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2" s="60">
        <f>IFERROR(IF(FIND(EC$1,$W72)&gt;0,IF(INDEX([1]!Product_Pricing_Table[#Data],MATCH(EC$1,Products,0),2)="Cores",IF(HostBuild[Use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2" s="59">
        <f>IFERROR(IF(FIND(ED$1,$W72)&gt;0,IF(INDEX([1]!Product_Pricing_Table[#Data],MATCH(ED$1,Products,0),2)="Cores",IF(HostBuild[Use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2" s="59">
        <f>IFERROR(IF(FIND(EE$1,$W72)&gt;0,IF(INDEX([1]!Product_Pricing_Table[#Data],MATCH(EE$1,Products,0),2)="Cores",IF(HostBuild[Use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2" s="59">
        <f>IFERROR(IF(FIND(EF$1,$W72)&gt;0,IF(INDEX([1]!Product_Pricing_Table[#Data],MATCH(EF$1,Products,0),2)="Cores",IF(HostBuild[Use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2" s="59">
        <f>IFERROR(IF(FIND(EG$1,$W72)&gt;0,IF(INDEX([1]!Product_Pricing_Table[#Data],MATCH(EG$1,Products,0),2)="Cores",IF(HostBuild[Use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2" s="59">
        <f>IFERROR(IF(FIND(EH$1,$W72)&gt;0,IF(INDEX([1]!Product_Pricing_Table[#Data],MATCH(EH$1,Products,0),2)="Cores",IF(HostBuild[Use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2" s="59">
        <f>IFERROR(IF(FIND(EI$1,$W72)&gt;0,IF(INDEX([1]!Product_Pricing_Table[#Data],MATCH(EI$1,Products,0),2)="Cores",IF(HostBuild[Use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2" s="59">
        <f>IFERROR(IF(FIND(EJ$1,$W72)&gt;0,IF(INDEX([1]!Product_Pricing_Table[#Data],MATCH(EJ$1,Products,0),2)="Cores",IF(HostBuild[Use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2" s="60">
        <f>IFERROR(IF(FIND(EK$1,$W72)&gt;0,IF(INDEX([1]!Product_Pricing_Table[#Data],MATCH(EK$1,Products,0),2)="Cores",IF(HostBuild[Use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2" s="61"/>
      <c r="EM72" s="62"/>
      <c r="EN72" s="63"/>
      <c r="EO72"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7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97.73</v>
      </c>
      <c r="EQ72" s="132">
        <f>(HostBuild[Archive
Full (GB)]+HostBuild[Archive
Incr (GB)])*Storage_DC_Dist_Tape_2014</f>
        <v>12.819624999999998</v>
      </c>
      <c r="ER72" s="132">
        <f>IF(ISNUMBER(HostBuild[Server HW Costs
(Monthly)]),SUM(HostBuild[[#This Row],[Server HW Costs
(Monthly)]:[Tape Costs
(Monthly)]]),0)</f>
        <v>110.54962500000001</v>
      </c>
      <c r="ES72" s="65">
        <f>HostBuild[Software Costs
'[Year 1']
(Monthly)]+HostBuild[Total Hardware Costs
(Monthly)]</f>
        <v>110.54962500000001</v>
      </c>
      <c r="ET72" s="65">
        <f>IFERROR(IF(FIND("Safenet",HostBuild[Server Model]),Safenet_PSE_PL600_Maint,0),0)+IFERROR(IF(FIND("XI52",HostBuild[Server Model]),IBM_DIA_XI52_Maint,0),0)+HostBuild[Software Costs
'[After Year 1']
(Monthly)]+HostBuild[Total Hardware Costs
(Monthly)]</f>
        <v>110.54962500000001</v>
      </c>
      <c r="EU72" s="66">
        <f>SUM(HostBuild[[#This Row],[Server Cost Breakdown]:[Network Cost]])</f>
        <v>0</v>
      </c>
      <c r="EV72" s="67">
        <f>IF(HostBuild[Existing Server?]="Yes - Inside this BoM",0,SUMIF(HostBuild[Alias],HostBuild[Alias],HostBuild[CPU])+SUMIF(HostBuild[Alias],HostBuild[Alias],HostBuild[Existing CPUs]))</f>
        <v>0</v>
      </c>
      <c r="EW72" s="67">
        <f>IF(HostBuild[Existing Server?]="Yes - Inside this BoM",0,SUMIF(HostBuild[Alias],HostBuild[Alias],HostBuild[Cores 
(Licensed Units)])+SUMIF(HostBuild[Alias],HostBuild[Alias],HostBuild[Existing Cores]))</f>
        <v>0</v>
      </c>
      <c r="EX72" s="67">
        <f>IF(HostBuild[Existing Server?]="Yes - Inside this BoM",0,SUMIF(HostBuild[Alias],HostBuild[Alias],HostBuild[RAM 
(GB)])+SUMIF(HostBuild[Alias],HostBuild[Alias],HostBuild[Existing RAM (GB)]))</f>
        <v>0</v>
      </c>
      <c r="EY7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2" s="66">
        <f>IF(ISBLANK(HostBuild[Server Model]),0,IF(HostBuild[Server Tier]="VMware",0,VLOOKUP(HostBuild[Server Tier],[1]!ServerTierRates[#Data],2,0))*HostBuild[CPU]*IF(AND(HostBuild[Server Type]="pSeries",HostBuild[Virtual Platform Storage Type]="Cloud-SAN"),0.25,1))</f>
        <v>0</v>
      </c>
      <c r="FD72" s="66">
        <f>0</f>
        <v>0</v>
      </c>
      <c r="FE72" s="66">
        <f>IF(HostBuild[Server Type]="VMware",HostBuild[RAM 
(GB)]*IF(ISERROR(FIND("DevCloud", HostBuild[Server Model])&gt;0),vRAM_per_vCPU_2014_Monthly,vRAM_per_vCPU_2014_Daily*30),0)</f>
        <v>0</v>
      </c>
      <c r="FF7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2" s="69">
        <f>IF(HostBuild[Server Tier]="VMware",0,IF(LEFT(HostBuild[Existing Server?],3)="Yes",0,IF(OR(HostBuild[Server Type]="Sun",HostBuild[Server Type]="pSeries"),Support_Direct_Server_Sun_per_OS_2014,IF(HostBuild[Server Type]="x86",Support_Direct_Server_x86_Wintel_per_OS_2014,0))))</f>
        <v>0</v>
      </c>
      <c r="FI7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3" spans="1:165" hidden="1">
      <c r="A73" s="122" t="s">
        <v>53</v>
      </c>
      <c r="B73" s="36"/>
      <c r="C73" s="36"/>
      <c r="D73" s="36"/>
      <c r="E73" s="37"/>
      <c r="F73" s="37"/>
      <c r="G73" s="103"/>
      <c r="H73" s="103"/>
      <c r="I73" s="38"/>
      <c r="J73" s="37"/>
      <c r="K73" s="37"/>
      <c r="L73" s="37"/>
      <c r="M73" s="103" t="e">
        <f ca="1">IF(rngIsDate(HostBuild[CTO Acceptance]),"Y","N")</f>
        <v>#NAME?</v>
      </c>
      <c r="N73" s="123" t="s">
        <v>3</v>
      </c>
      <c r="O73" s="39"/>
      <c r="P73" s="39"/>
      <c r="Q73" s="123" t="s">
        <v>1</v>
      </c>
      <c r="R73" s="126" t="str">
        <f>IF(NOT(ISBLANK(HostBuild[Env Label])),IFERROR(VLOOKUP(HostBuild[Env Label],[1]!tEnv[#Data],3,FALSE),""),"")</f>
        <v/>
      </c>
      <c r="S73" s="104"/>
      <c r="T73" s="40"/>
      <c r="U73" s="105"/>
      <c r="V73" s="123" t="s">
        <v>69</v>
      </c>
      <c r="W73" s="123" t="s">
        <v>70</v>
      </c>
      <c r="X73" s="123" t="s">
        <v>57</v>
      </c>
      <c r="Y73" s="123" t="s">
        <v>58</v>
      </c>
      <c r="Z73" s="126" t="str">
        <f>IF(NOT(ISBLANK(HostBuild[[#This Row],[Product 
(Acronym)]])),CONCATENATE(HostBuild[[#This Row],[Type]],"-",HostBuild[[#This Row],[Product 
(Acronym)]]),"")</f>
        <v>AP-ESB</v>
      </c>
      <c r="AA73" s="106"/>
      <c r="AB73" s="106" t="s">
        <v>59</v>
      </c>
      <c r="AC73" s="41"/>
      <c r="AD73" s="42"/>
      <c r="AE73" s="42"/>
      <c r="AF73" s="43" t="s">
        <v>60</v>
      </c>
      <c r="AG73" s="124"/>
      <c r="AH73" s="107"/>
      <c r="AI73" s="124" t="s">
        <v>156</v>
      </c>
      <c r="AJ73" s="123">
        <f>IF(COUNTIF(HostBuild[Alias],HostBuild[Alias]),1/COUNTIF(HostBuild[Alias],HostBuild[Alias]),0)</f>
        <v>1</v>
      </c>
      <c r="AK73" s="124"/>
      <c r="AL73" s="124"/>
      <c r="AM73" s="44" t="s">
        <v>62</v>
      </c>
      <c r="AN73" s="45" t="str">
        <f>IF(NOT(ISBLANK(HostBuild[Server Model])),VLOOKUP(HostBuild[Server Model],[1]!ServerModelsTier[#Data],2,FALSE),"")</f>
        <v>x86 Tier 3</v>
      </c>
      <c r="AO73" s="45" t="str">
        <f>IF(NOT(ISBLANK(HostBuild[Server Model])),VLOOKUP(HostBuild[Server Model],[1]!ServerModelsTier[#Data],5,FALSE),"")</f>
        <v>x86</v>
      </c>
      <c r="AP73" s="44"/>
      <c r="AQ73" s="44" t="s">
        <v>63</v>
      </c>
      <c r="AR73" s="46"/>
      <c r="AS73" s="108"/>
      <c r="AT73" s="47"/>
      <c r="AU73" s="109" t="str">
        <f>IF(IFERROR(FIND("P-Series",HostBuild[Server Tier]),0),CEILING((HostBuild[Existing CPUs]+HostBuild[CPU])*16,8),"")</f>
        <v/>
      </c>
      <c r="AV73" s="48"/>
      <c r="AW73" s="124"/>
      <c r="AX73" s="124"/>
      <c r="AY73" s="124"/>
      <c r="AZ73" s="49"/>
      <c r="BA73" s="124"/>
      <c r="BB73" s="124"/>
      <c r="BC73" s="42"/>
      <c r="BD73" s="124"/>
      <c r="BE73" s="124"/>
      <c r="BF73" s="124"/>
      <c r="BG73" s="124"/>
      <c r="BH73" s="124"/>
      <c r="BI73" s="124"/>
      <c r="BJ73" s="124"/>
      <c r="BK73"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73" s="127">
        <v>60</v>
      </c>
      <c r="BM73" s="129">
        <f>IF(ISNUMBER(HostBuild[Recommended SAN (GB)]),HostBuild[Recommended SAN (GB)])+IF(HostBuild[Additional SAN (GB)]&gt;0,CEILING(HostBuild[Additional SAN (GB)],LUN),-(CEILING(-HostBuild[Additional SAN (GB)],LUN)))</f>
        <v>67.400000000000006</v>
      </c>
      <c r="BN73" s="128"/>
      <c r="BO73" s="129">
        <f>HostBuild[SAN (GB)
NEEDED TODAY]+CEILING(HostBuild[SAN (GB)
RESERVED
DO NOT USE TO BUILD], LUN)</f>
        <v>67.400000000000006</v>
      </c>
      <c r="BP73" s="130"/>
      <c r="BQ73" s="131"/>
      <c r="BR73" s="125" t="s">
        <v>76</v>
      </c>
      <c r="BS73" s="110">
        <f>IF(HostBuild[Existing Server?]&lt;&gt;"Yes - Inside this BoM",IF(ISNUMBER(HostBuild[RAM 
(GB)]),IF(HostBuild[Existing RAM (GB)]+HostBuild[RAM 
(GB)]&gt;0,IF(HostBuild[Virtual Platform Storage Type]="NAS",110+HostBuild[Existing RAM (GB)]+HostBuild[RAM 
(GB)]*1.75,0),0),0),0)</f>
        <v>0</v>
      </c>
      <c r="BT73" s="111"/>
      <c r="BU73" s="112">
        <f>IF(ISNUMBER(HostBuild[Recommended NAS (GB)]),HostBuild[Recommended NAS (GB)])+HostBuild[Additional NAS (GB)]</f>
        <v>0</v>
      </c>
      <c r="BV73" s="50"/>
      <c r="BW73" s="50"/>
      <c r="BX73" s="133">
        <f>IFERROR((HostBuild[SAN (GB)
End-State
DO NOT USE TO BUILD]+HostBuild[SAN (GB) Shared])*25%,"")</f>
        <v>16.850000000000001</v>
      </c>
      <c r="BY73" s="113">
        <f>IFERROR(HostBuild[Archive
Full (GB)]*15%,"")</f>
        <v>2.5275000000000003</v>
      </c>
      <c r="BZ73" s="51"/>
      <c r="CA73" s="51"/>
      <c r="CB73" s="52"/>
      <c r="CC73" s="53"/>
      <c r="CD73" s="52"/>
      <c r="CE73" s="54"/>
      <c r="CF73" s="128"/>
      <c r="CG73" s="114"/>
      <c r="CH73" s="55"/>
      <c r="CI73" s="56"/>
      <c r="CJ73" s="57" t="s">
        <v>65</v>
      </c>
      <c r="CK73" s="58"/>
      <c r="CL73" s="59">
        <f>IFERROR(IF(FIND(CL$1,$W73)&gt;0,IF(INDEX([1]!Product_Pricing_Table[#Data],MATCH(CL$1,Products,0),2)="Cores",IF(HostBuild[Use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3" s="59">
        <f>IFERROR(IF(FIND(CM$1,$W73)&gt;0,IF(INDEX([1]!Product_Pricing_Table[#Data],MATCH(CM$1,Products,0),2)="Cores",IF(HostBuild[Use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3" s="59">
        <f>IFERROR(IF(FIND(CN$1,$W73)&gt;0,IF(INDEX([1]!Product_Pricing_Table[#Data],MATCH(CN$1,Products,0),2)="Cores",IF(HostBuild[Use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3" s="59">
        <f>IFERROR(IF(FIND(CO$1,$W73)&gt;0,IF(INDEX([1]!Product_Pricing_Table[#Data],MATCH(CO$1,Products,0),2)="Cores",IF(HostBuild[Use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3" s="59">
        <f>IFERROR(IF(FIND(CP$1,$W73)&gt;0,IF(INDEX([1]!Product_Pricing_Table[#Data],MATCH(CP$1,Products,0),2)="Cores",IF(HostBuild[Use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3" s="59">
        <f>IFERROR(IF(FIND(CQ$1,$W73)&gt;0,IF(INDEX([1]!Product_Pricing_Table[#Data],MATCH(CQ$1,Products,0),2)="Cores",IF(HostBuild[Use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3" s="59">
        <f>IFERROR(IF(FIND(CR$1,$W73)&gt;0,IF(INDEX([1]!Product_Pricing_Table[#Data],MATCH(CR$1,Products,0),2)="Cores",IF(HostBuild[Use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3" s="59">
        <f>IFERROR(IF(FIND(CS$1,$W73)&gt;0,IF(INDEX([1]!Product_Pricing_Table[#Data],MATCH(CS$1,Products,0),2)="Cores",IF(HostBuild[Use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3" s="59">
        <f>IFERROR(IF(FIND(CT$1,$W73)&gt;0,IF(INDEX([1]!Product_Pricing_Table[#Data],MATCH(CT$1,Products,0),2)="Cores",IF(HostBuild[Use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3" s="59">
        <f>IFERROR(IF(FIND(CU$1,$W73)&gt;0,IF(INDEX([1]!Product_Pricing_Table[#Data],MATCH(CU$1,Products,0),2)="Cores",IF(HostBuild[Use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3" s="59">
        <f>IFERROR(IF(FIND(CV$1,$W73)&gt;0,IF(INDEX([1]!Product_Pricing_Table[#Data],MATCH(CV$1,Products,0),2)="Cores",IF(HostBuild[Use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3" s="59">
        <f>IFERROR(IF(FIND(CW$1,$W73)&gt;0,IF(INDEX([1]!Product_Pricing_Table[#Data],MATCH(CW$1,Products,0),2)="Cores",IF(HostBuild[Use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3" s="59">
        <f>IFERROR(IF(FIND(CX$1,$W73)&gt;0,IF(INDEX([1]!Product_Pricing_Table[#Data],MATCH(CX$1,Products,0),2)="Cores",IF(HostBuild[Use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3" s="59">
        <f>IFERROR(IF(FIND(CY$1,$W73)&gt;0,IF(INDEX([1]!Product_Pricing_Table[#Data],MATCH(CY$1,Products,0),2)="Cores",IF(HostBuild[Use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3" s="59">
        <f>IFERROR(IF(FIND(CZ$1,$W73)&gt;0,IF(INDEX([1]!Product_Pricing_Table[#Data],MATCH(CZ$1,Products,0),2)="Cores",IF(HostBuild[Use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3" s="59">
        <f>IFERROR(IF(FIND(DA$1,$W73)&gt;0,IF(INDEX([1]!Product_Pricing_Table[#Data],MATCH(DA$1,Products,0),2)="Cores",IF(HostBuild[Use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3" s="59">
        <f>IFERROR(IF(FIND(DB$1,$W73)&gt;0,IF(INDEX([1]!Product_Pricing_Table[#Data],MATCH(DB$1,Products,0),2)="Cores",IF(HostBuild[Use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3" s="59">
        <f>IFERROR(IF(FIND(DC$1,$W73)&gt;0,IF(INDEX([1]!Product_Pricing_Table[#Data],MATCH(DC$1,Products,0),2)="Cores",IF(HostBuild[Use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3" s="59">
        <f>IFERROR(IF(FIND(DD$1,$W73)&gt;0,IF(INDEX([1]!Product_Pricing_Table[#Data],MATCH(DD$1,Products,0),2)="Cores",IF(HostBuild[Use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3" s="59">
        <f>IFERROR(IF(FIND(DE$1,$W73)&gt;0,IF(INDEX([1]!Product_Pricing_Table[#Data],MATCH(DE$1,Products,0),2)="Cores",IF(HostBuild[Use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3" s="60">
        <f>IFERROR(IF(FIND(DF$1,$W73)&gt;0,IF(INDEX([1]!Product_Pricing_Table[#Data],MATCH(DF$1,Products,0),2)="Cores",IF(HostBuild[Use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3" s="60">
        <f>IFERROR(IF(FIND(DG$1,$W73)&gt;0,IF(INDEX([1]!Product_Pricing_Table[#Data],MATCH(DG$1,Products,0),2)="Cores",IF(HostBuild[Use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3" s="59">
        <f>IFERROR(IF(FIND(DH$1,$W73)&gt;0,IF(INDEX([1]!Product_Pricing_Table[#Data],MATCH(DH$1,Products,0),2)="Cores",IF(HostBuild[Use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3" s="60">
        <f>IFERROR(IF(FIND(DI$1,$W73)&gt;0,IF(INDEX([1]!Product_Pricing_Table[#Data],MATCH(DI$1,Products,0),2)="Cores",IF(HostBuild[Use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3" s="59">
        <f>IFERROR(IF(FIND(DJ$1,$W73)&gt;0,IF(INDEX([1]!Product_Pricing_Table[#Data],MATCH(DJ$1,Products,0),2)="Cores",IF(HostBuild[Use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3" s="59">
        <f>IFERROR(IF(FIND(DK$1,$W73)&gt;0,IF(INDEX([1]!Product_Pricing_Table[#Data],MATCH(DK$1,Products,0),2)="Cores",IF(HostBuild[Use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3" s="59">
        <f>IFERROR(IF(FIND(DL$1,$W73)&gt;0,IF(INDEX([1]!Product_Pricing_Table[#Data],MATCH(DL$1,Products,0),2)="Cores",IF(HostBuild[Use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3" s="59">
        <f>IFERROR(IF(FIND(DM$1,$W73)&gt;0,IF(INDEX([1]!Product_Pricing_Table[#Data],MATCH(DM$1,Products,0),2)="Cores",IF(HostBuild[Use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3" s="59">
        <f>IFERROR(IF(FIND(DN$1,$W73)&gt;0,IF(INDEX([1]!Product_Pricing_Table[#Data],MATCH(DN$1,Products,0),2)="Cores",IF(HostBuild[Use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3" s="59">
        <f>IFERROR(IF(FIND(DO$1,$W73)&gt;0,IF(INDEX([1]!Product_Pricing_Table[#Data],MATCH(DO$1,Products,0),2)="Cores",IF(HostBuild[Use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3" s="59">
        <f>IFERROR(IF(FIND(DP$1,$W73)&gt;0,IF(INDEX([1]!Product_Pricing_Table[#Data],MATCH(DP$1,Products,0),2)="Cores",IF(HostBuild[Use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3" s="59">
        <f>IFERROR(IF(FIND(DQ$1,$W73)&gt;0,IF(INDEX([1]!Product_Pricing_Table[#Data],MATCH(DQ$1,Products,0),2)="Cores",IF(HostBuild[Use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3" s="59">
        <f>IFERROR(IF(FIND(DR$1,$W73)&gt;0,IF(INDEX([1]!Product_Pricing_Table[#Data],MATCH(DR$1,Products,0),2)="Cores",IF(HostBuild[Use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3" s="59">
        <f>IFERROR(IF(FIND(DS$1,$W73)&gt;0,IF(INDEX([1]!Product_Pricing_Table[#Data],MATCH(DS$1,Products,0),2)="Cores",IF(HostBuild[Use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3" s="59">
        <f>IFERROR(IF(FIND(DT$1,$W73)&gt;0,IF(INDEX([1]!Product_Pricing_Table[#Data],MATCH(DT$1,Products,0),2)="Cores",IF(HostBuild[Use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3" s="59">
        <f>IFERROR(IF(FIND(DU$1,$W73)&gt;0,IF(INDEX([1]!Product_Pricing_Table[#Data],MATCH(DU$1,Products,0),2)="Cores",IF(HostBuild[Use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3" s="59">
        <f>IFERROR(IF(FIND(DV$1,$W73)&gt;0,IF(INDEX([1]!Product_Pricing_Table[#Data],MATCH(DV$1,Products,0),2)="Cores",IF(HostBuild[Use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3" s="59">
        <f>IFERROR(IF(FIND(DW$1,$W73)&gt;0,IF(INDEX([1]!Product_Pricing_Table[#Data],MATCH(DW$1,Products,0),2)="Cores",IF(HostBuild[Use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3" s="59">
        <f>IFERROR(IF(FIND(DX$1,$W73)&gt;0,IF(INDEX([1]!Product_Pricing_Table[#Data],MATCH(DX$1,Products,0),2)="Cores",IF(HostBuild[Use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3" s="59">
        <f>IFERROR(IF(FIND(DY$1,$W73)&gt;0,IF(INDEX([1]!Product_Pricing_Table[#Data],MATCH(DY$1,Products,0),2)="Cores",IF(HostBuild[Use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3" s="59">
        <f>IFERROR(IF(FIND(DZ$1,$W73)&gt;0,IF(INDEX([1]!Product_Pricing_Table[#Data],MATCH(DZ$1,Products,0),2)="Cores",IF(HostBuild[Use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3" s="59">
        <f>IFERROR(IF(FIND(EA$1,$W73)&gt;0,IF(INDEX([1]!Product_Pricing_Table[#Data],MATCH(EA$1,Products,0),2)="Cores",IF(HostBuild[Use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3" s="59">
        <f>IFERROR(IF(FIND(EB$1,$W73)&gt;0,IF(INDEX([1]!Product_Pricing_Table[#Data],MATCH(EB$1,Products,0),2)="Cores",IF(HostBuild[Use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3" s="60">
        <f>IFERROR(IF(FIND(EC$1,$W73)&gt;0,IF(INDEX([1]!Product_Pricing_Table[#Data],MATCH(EC$1,Products,0),2)="Cores",IF(HostBuild[Use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3" s="59">
        <f>IFERROR(IF(FIND(ED$1,$W73)&gt;0,IF(INDEX([1]!Product_Pricing_Table[#Data],MATCH(ED$1,Products,0),2)="Cores",IF(HostBuild[Use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3" s="59">
        <f>IFERROR(IF(FIND(EE$1,$W73)&gt;0,IF(INDEX([1]!Product_Pricing_Table[#Data],MATCH(EE$1,Products,0),2)="Cores",IF(HostBuild[Use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3" s="59">
        <f>IFERROR(IF(FIND(EF$1,$W73)&gt;0,IF(INDEX([1]!Product_Pricing_Table[#Data],MATCH(EF$1,Products,0),2)="Cores",IF(HostBuild[Use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3" s="59">
        <f>IFERROR(IF(FIND(EG$1,$W73)&gt;0,IF(INDEX([1]!Product_Pricing_Table[#Data],MATCH(EG$1,Products,0),2)="Cores",IF(HostBuild[Use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3" s="59">
        <f>IFERROR(IF(FIND(EH$1,$W73)&gt;0,IF(INDEX([1]!Product_Pricing_Table[#Data],MATCH(EH$1,Products,0),2)="Cores",IF(HostBuild[Use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3" s="59">
        <f>IFERROR(IF(FIND(EI$1,$W73)&gt;0,IF(INDEX([1]!Product_Pricing_Table[#Data],MATCH(EI$1,Products,0),2)="Cores",IF(HostBuild[Use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3" s="59">
        <f>IFERROR(IF(FIND(EJ$1,$W73)&gt;0,IF(INDEX([1]!Product_Pricing_Table[#Data],MATCH(EJ$1,Products,0),2)="Cores",IF(HostBuild[Use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3" s="60">
        <f>IFERROR(IF(FIND(EK$1,$W73)&gt;0,IF(INDEX([1]!Product_Pricing_Table[#Data],MATCH(EK$1,Products,0),2)="Cores",IF(HostBuild[Use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3" s="61"/>
      <c r="EM73" s="62"/>
      <c r="EN73" s="63"/>
      <c r="EO73"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7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30.330000000000002</v>
      </c>
      <c r="EQ73" s="132">
        <f>(HostBuild[Archive
Full (GB)]+HostBuild[Archive
Incr (GB)])*Storage_DC_Dist_Tape_2014</f>
        <v>6.7821249999999997</v>
      </c>
      <c r="ER73" s="132">
        <f>IF(ISNUMBER(HostBuild[Server HW Costs
(Monthly)]),SUM(HostBuild[[#This Row],[Server HW Costs
(Monthly)]:[Tape Costs
(Monthly)]]),0)</f>
        <v>37.112124999999999</v>
      </c>
      <c r="ES73" s="65">
        <f>HostBuild[Software Costs
'[Year 1']
(Monthly)]+HostBuild[Total Hardware Costs
(Monthly)]</f>
        <v>37.112124999999999</v>
      </c>
      <c r="ET73" s="65">
        <f>IFERROR(IF(FIND("Safenet",HostBuild[Server Model]),Safenet_PSE_PL600_Maint,0),0)+IFERROR(IF(FIND("XI52",HostBuild[Server Model]),IBM_DIA_XI52_Maint,0),0)+HostBuild[Software Costs
'[After Year 1']
(Monthly)]+HostBuild[Total Hardware Costs
(Monthly)]</f>
        <v>37.112124999999999</v>
      </c>
      <c r="EU73" s="66">
        <f>SUM(HostBuild[[#This Row],[Server Cost Breakdown]:[Network Cost]])</f>
        <v>0</v>
      </c>
      <c r="EV73" s="67">
        <f>IF(HostBuild[Existing Server?]="Yes - Inside this BoM",0,SUMIF(HostBuild[Alias],HostBuild[Alias],HostBuild[CPU])+SUMIF(HostBuild[Alias],HostBuild[Alias],HostBuild[Existing CPUs]))</f>
        <v>0</v>
      </c>
      <c r="EW73" s="67">
        <f>IF(HostBuild[Existing Server?]="Yes - Inside this BoM",0,SUMIF(HostBuild[Alias],HostBuild[Alias],HostBuild[Cores 
(Licensed Units)])+SUMIF(HostBuild[Alias],HostBuild[Alias],HostBuild[Existing Cores]))</f>
        <v>0</v>
      </c>
      <c r="EX73" s="67">
        <f>IF(HostBuild[Existing Server?]="Yes - Inside this BoM",0,SUMIF(HostBuild[Alias],HostBuild[Alias],HostBuild[RAM 
(GB)])+SUMIF(HostBuild[Alias],HostBuild[Alias],HostBuild[Existing RAM (GB)]))</f>
        <v>0</v>
      </c>
      <c r="EY7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3" s="66">
        <f>IF(ISBLANK(HostBuild[Server Model]),0,IF(HostBuild[Server Tier]="VMware",0,VLOOKUP(HostBuild[Server Tier],[1]!ServerTierRates[#Data],2,0))*HostBuild[CPU]*IF(AND(HostBuild[Server Type]="pSeries",HostBuild[Virtual Platform Storage Type]="Cloud-SAN"),0.25,1))</f>
        <v>0</v>
      </c>
      <c r="FD73" s="66">
        <f>0</f>
        <v>0</v>
      </c>
      <c r="FE73" s="66">
        <f>IF(HostBuild[Server Type]="VMware",HostBuild[RAM 
(GB)]*IF(ISERROR(FIND("DevCloud", HostBuild[Server Model])&gt;0),vRAM_per_vCPU_2014_Monthly,vRAM_per_vCPU_2014_Daily*30),0)</f>
        <v>0</v>
      </c>
      <c r="FF7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3" s="69">
        <f>IF(HostBuild[Server Tier]="VMware",0,IF(LEFT(HostBuild[Existing Server?],3)="Yes",0,IF(OR(HostBuild[Server Type]="Sun",HostBuild[Server Type]="pSeries"),Support_Direct_Server_Sun_per_OS_2014,IF(HostBuild[Server Type]="x86",Support_Direct_Server_x86_Wintel_per_OS_2014,0))))</f>
        <v>0</v>
      </c>
      <c r="FI7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4" spans="1:165" hidden="1">
      <c r="A74" s="122" t="s">
        <v>53</v>
      </c>
      <c r="B74" s="36"/>
      <c r="C74" s="36"/>
      <c r="D74" s="36"/>
      <c r="E74" s="37"/>
      <c r="F74" s="37"/>
      <c r="G74" s="103"/>
      <c r="H74" s="103"/>
      <c r="I74" s="38"/>
      <c r="J74" s="37"/>
      <c r="K74" s="37"/>
      <c r="L74" s="37"/>
      <c r="M74" s="103" t="e">
        <f ca="1">IF(rngIsDate(HostBuild[CTO Acceptance]),"Y","N")</f>
        <v>#NAME?</v>
      </c>
      <c r="N74" s="123" t="s">
        <v>3</v>
      </c>
      <c r="O74" s="39"/>
      <c r="P74" s="39"/>
      <c r="Q74" s="123" t="s">
        <v>1</v>
      </c>
      <c r="R74" s="126" t="str">
        <f>IF(NOT(ISBLANK(HostBuild[Env Label])),IFERROR(VLOOKUP(HostBuild[Env Label],[1]!tEnv[#Data],3,FALSE),""),"")</f>
        <v/>
      </c>
      <c r="S74" s="104"/>
      <c r="T74" s="40"/>
      <c r="U74" s="105"/>
      <c r="V74" s="123" t="s">
        <v>69</v>
      </c>
      <c r="W74" s="123" t="s">
        <v>70</v>
      </c>
      <c r="X74" s="123" t="s">
        <v>57</v>
      </c>
      <c r="Y74" s="123" t="s">
        <v>58</v>
      </c>
      <c r="Z74" s="126" t="str">
        <f>IF(NOT(ISBLANK(HostBuild[[#This Row],[Product 
(Acronym)]])),CONCATENATE(HostBuild[[#This Row],[Type]],"-",HostBuild[[#This Row],[Product 
(Acronym)]]),"")</f>
        <v>AP-ESB</v>
      </c>
      <c r="AA74" s="106"/>
      <c r="AB74" s="106" t="s">
        <v>59</v>
      </c>
      <c r="AC74" s="41"/>
      <c r="AD74" s="42"/>
      <c r="AE74" s="42"/>
      <c r="AF74" s="43" t="s">
        <v>60</v>
      </c>
      <c r="AG74" s="124"/>
      <c r="AH74" s="107"/>
      <c r="AI74" s="124" t="s">
        <v>157</v>
      </c>
      <c r="AJ74" s="123">
        <f>IF(COUNTIF(HostBuild[Alias],HostBuild[Alias]),1/COUNTIF(HostBuild[Alias],HostBuild[Alias]),0)</f>
        <v>1</v>
      </c>
      <c r="AK74" s="124"/>
      <c r="AL74" s="124"/>
      <c r="AM74" s="44" t="s">
        <v>62</v>
      </c>
      <c r="AN74" s="45" t="str">
        <f>IF(NOT(ISBLANK(HostBuild[Server Model])),VLOOKUP(HostBuild[Server Model],[1]!ServerModelsTier[#Data],2,FALSE),"")</f>
        <v>x86 Tier 3</v>
      </c>
      <c r="AO74" s="45" t="str">
        <f>IF(NOT(ISBLANK(HostBuild[Server Model])),VLOOKUP(HostBuild[Server Model],[1]!ServerModelsTier[#Data],5,FALSE),"")</f>
        <v>x86</v>
      </c>
      <c r="AP74" s="44"/>
      <c r="AQ74" s="44" t="s">
        <v>63</v>
      </c>
      <c r="AR74" s="46"/>
      <c r="AS74" s="108"/>
      <c r="AT74" s="47"/>
      <c r="AU74" s="109" t="str">
        <f>IF(IFERROR(FIND("P-Series",HostBuild[Server Tier]),0),CEILING((HostBuild[Existing CPUs]+HostBuild[CPU])*16,8),"")</f>
        <v/>
      </c>
      <c r="AV74" s="48"/>
      <c r="AW74" s="124"/>
      <c r="AX74" s="124"/>
      <c r="AY74" s="124"/>
      <c r="AZ74" s="49"/>
      <c r="BA74" s="124"/>
      <c r="BB74" s="124"/>
      <c r="BC74" s="42"/>
      <c r="BD74" s="124"/>
      <c r="BE74" s="124"/>
      <c r="BF74" s="124"/>
      <c r="BG74" s="124"/>
      <c r="BH74" s="124"/>
      <c r="BI74" s="124"/>
      <c r="BJ74" s="124"/>
      <c r="BK74"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74" s="127">
        <v>60</v>
      </c>
      <c r="BM74" s="129">
        <f>IF(ISNUMBER(HostBuild[Recommended SAN (GB)]),HostBuild[Recommended SAN (GB)])+IF(HostBuild[Additional SAN (GB)]&gt;0,CEILING(HostBuild[Additional SAN (GB)],LUN),-(CEILING(-HostBuild[Additional SAN (GB)],LUN)))</f>
        <v>67.400000000000006</v>
      </c>
      <c r="BN74" s="128"/>
      <c r="BO74" s="129">
        <f>HostBuild[SAN (GB)
NEEDED TODAY]+CEILING(HostBuild[SAN (GB)
RESERVED
DO NOT USE TO BUILD], LUN)</f>
        <v>67.400000000000006</v>
      </c>
      <c r="BP74" s="130">
        <v>60</v>
      </c>
      <c r="BQ74" s="131"/>
      <c r="BR74" s="125" t="s">
        <v>76</v>
      </c>
      <c r="BS74" s="110">
        <f>IF(HostBuild[Existing Server?]&lt;&gt;"Yes - Inside this BoM",IF(ISNUMBER(HostBuild[RAM 
(GB)]),IF(HostBuild[Existing RAM (GB)]+HostBuild[RAM 
(GB)]&gt;0,IF(HostBuild[Virtual Platform Storage Type]="NAS",110+HostBuild[Existing RAM (GB)]+HostBuild[RAM 
(GB)]*1.75,0),0),0),0)</f>
        <v>0</v>
      </c>
      <c r="BT74" s="111"/>
      <c r="BU74" s="112">
        <f>IF(ISNUMBER(HostBuild[Recommended NAS (GB)]),HostBuild[Recommended NAS (GB)])+HostBuild[Additional NAS (GB)]</f>
        <v>0</v>
      </c>
      <c r="BV74" s="50"/>
      <c r="BW74" s="50"/>
      <c r="BX74" s="133">
        <f>IFERROR((HostBuild[SAN (GB)
End-State
DO NOT USE TO BUILD]+HostBuild[SAN (GB) Shared])*25%,"")</f>
        <v>31.85</v>
      </c>
      <c r="BY74" s="113">
        <f>IFERROR(HostBuild[Archive
Full (GB)]*15%,"")</f>
        <v>4.7774999999999999</v>
      </c>
      <c r="BZ74" s="51"/>
      <c r="CA74" s="51"/>
      <c r="CB74" s="52"/>
      <c r="CC74" s="53"/>
      <c r="CD74" s="52"/>
      <c r="CE74" s="54"/>
      <c r="CF74" s="128"/>
      <c r="CG74" s="114"/>
      <c r="CH74" s="55"/>
      <c r="CI74" s="56"/>
      <c r="CJ74" s="57" t="s">
        <v>65</v>
      </c>
      <c r="CK74" s="58"/>
      <c r="CL74" s="59">
        <f>IFERROR(IF(FIND(CL$1,$W74)&gt;0,IF(INDEX([1]!Product_Pricing_Table[#Data],MATCH(CL$1,Products,0),2)="Cores",IF(HostBuild[Use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4" s="59">
        <f>IFERROR(IF(FIND(CM$1,$W74)&gt;0,IF(INDEX([1]!Product_Pricing_Table[#Data],MATCH(CM$1,Products,0),2)="Cores",IF(HostBuild[Use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4" s="59">
        <f>IFERROR(IF(FIND(CN$1,$W74)&gt;0,IF(INDEX([1]!Product_Pricing_Table[#Data],MATCH(CN$1,Products,0),2)="Cores",IF(HostBuild[Use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4" s="59">
        <f>IFERROR(IF(FIND(CO$1,$W74)&gt;0,IF(INDEX([1]!Product_Pricing_Table[#Data],MATCH(CO$1,Products,0),2)="Cores",IF(HostBuild[Use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4" s="59">
        <f>IFERROR(IF(FIND(CP$1,$W74)&gt;0,IF(INDEX([1]!Product_Pricing_Table[#Data],MATCH(CP$1,Products,0),2)="Cores",IF(HostBuild[Use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4" s="59">
        <f>IFERROR(IF(FIND(CQ$1,$W74)&gt;0,IF(INDEX([1]!Product_Pricing_Table[#Data],MATCH(CQ$1,Products,0),2)="Cores",IF(HostBuild[Use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4" s="59">
        <f>IFERROR(IF(FIND(CR$1,$W74)&gt;0,IF(INDEX([1]!Product_Pricing_Table[#Data],MATCH(CR$1,Products,0),2)="Cores",IF(HostBuild[Use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4" s="59">
        <f>IFERROR(IF(FIND(CS$1,$W74)&gt;0,IF(INDEX([1]!Product_Pricing_Table[#Data],MATCH(CS$1,Products,0),2)="Cores",IF(HostBuild[Use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4" s="59">
        <f>IFERROR(IF(FIND(CT$1,$W74)&gt;0,IF(INDEX([1]!Product_Pricing_Table[#Data],MATCH(CT$1,Products,0),2)="Cores",IF(HostBuild[Use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4" s="59">
        <f>IFERROR(IF(FIND(CU$1,$W74)&gt;0,IF(INDEX([1]!Product_Pricing_Table[#Data],MATCH(CU$1,Products,0),2)="Cores",IF(HostBuild[Use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4" s="59">
        <f>IFERROR(IF(FIND(CV$1,$W74)&gt;0,IF(INDEX([1]!Product_Pricing_Table[#Data],MATCH(CV$1,Products,0),2)="Cores",IF(HostBuild[Use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4" s="59">
        <f>IFERROR(IF(FIND(CW$1,$W74)&gt;0,IF(INDEX([1]!Product_Pricing_Table[#Data],MATCH(CW$1,Products,0),2)="Cores",IF(HostBuild[Use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4" s="59">
        <f>IFERROR(IF(FIND(CX$1,$W74)&gt;0,IF(INDEX([1]!Product_Pricing_Table[#Data],MATCH(CX$1,Products,0),2)="Cores",IF(HostBuild[Use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4" s="59">
        <f>IFERROR(IF(FIND(CY$1,$W74)&gt;0,IF(INDEX([1]!Product_Pricing_Table[#Data],MATCH(CY$1,Products,0),2)="Cores",IF(HostBuild[Use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4" s="59">
        <f>IFERROR(IF(FIND(CZ$1,$W74)&gt;0,IF(INDEX([1]!Product_Pricing_Table[#Data],MATCH(CZ$1,Products,0),2)="Cores",IF(HostBuild[Use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4" s="59">
        <f>IFERROR(IF(FIND(DA$1,$W74)&gt;0,IF(INDEX([1]!Product_Pricing_Table[#Data],MATCH(DA$1,Products,0),2)="Cores",IF(HostBuild[Use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4" s="59">
        <f>IFERROR(IF(FIND(DB$1,$W74)&gt;0,IF(INDEX([1]!Product_Pricing_Table[#Data],MATCH(DB$1,Products,0),2)="Cores",IF(HostBuild[Use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4" s="59">
        <f>IFERROR(IF(FIND(DC$1,$W74)&gt;0,IF(INDEX([1]!Product_Pricing_Table[#Data],MATCH(DC$1,Products,0),2)="Cores",IF(HostBuild[Use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4" s="59">
        <f>IFERROR(IF(FIND(DD$1,$W74)&gt;0,IF(INDEX([1]!Product_Pricing_Table[#Data],MATCH(DD$1,Products,0),2)="Cores",IF(HostBuild[Use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4" s="59">
        <f>IFERROR(IF(FIND(DE$1,$W74)&gt;0,IF(INDEX([1]!Product_Pricing_Table[#Data],MATCH(DE$1,Products,0),2)="Cores",IF(HostBuild[Use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4" s="60">
        <f>IFERROR(IF(FIND(DF$1,$W74)&gt;0,IF(INDEX([1]!Product_Pricing_Table[#Data],MATCH(DF$1,Products,0),2)="Cores",IF(HostBuild[Use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4" s="60">
        <f>IFERROR(IF(FIND(DG$1,$W74)&gt;0,IF(INDEX([1]!Product_Pricing_Table[#Data],MATCH(DG$1,Products,0),2)="Cores",IF(HostBuild[Use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4" s="59">
        <f>IFERROR(IF(FIND(DH$1,$W74)&gt;0,IF(INDEX([1]!Product_Pricing_Table[#Data],MATCH(DH$1,Products,0),2)="Cores",IF(HostBuild[Use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4" s="60">
        <f>IFERROR(IF(FIND(DI$1,$W74)&gt;0,IF(INDEX([1]!Product_Pricing_Table[#Data],MATCH(DI$1,Products,0),2)="Cores",IF(HostBuild[Use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4" s="59">
        <f>IFERROR(IF(FIND(DJ$1,$W74)&gt;0,IF(INDEX([1]!Product_Pricing_Table[#Data],MATCH(DJ$1,Products,0),2)="Cores",IF(HostBuild[Use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4" s="59">
        <f>IFERROR(IF(FIND(DK$1,$W74)&gt;0,IF(INDEX([1]!Product_Pricing_Table[#Data],MATCH(DK$1,Products,0),2)="Cores",IF(HostBuild[Use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4" s="59">
        <f>IFERROR(IF(FIND(DL$1,$W74)&gt;0,IF(INDEX([1]!Product_Pricing_Table[#Data],MATCH(DL$1,Products,0),2)="Cores",IF(HostBuild[Use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4" s="59">
        <f>IFERROR(IF(FIND(DM$1,$W74)&gt;0,IF(INDEX([1]!Product_Pricing_Table[#Data],MATCH(DM$1,Products,0),2)="Cores",IF(HostBuild[Use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4" s="59">
        <f>IFERROR(IF(FIND(DN$1,$W74)&gt;0,IF(INDEX([1]!Product_Pricing_Table[#Data],MATCH(DN$1,Products,0),2)="Cores",IF(HostBuild[Use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4" s="59">
        <f>IFERROR(IF(FIND(DO$1,$W74)&gt;0,IF(INDEX([1]!Product_Pricing_Table[#Data],MATCH(DO$1,Products,0),2)="Cores",IF(HostBuild[Use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4" s="59">
        <f>IFERROR(IF(FIND(DP$1,$W74)&gt;0,IF(INDEX([1]!Product_Pricing_Table[#Data],MATCH(DP$1,Products,0),2)="Cores",IF(HostBuild[Use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4" s="59">
        <f>IFERROR(IF(FIND(DQ$1,$W74)&gt;0,IF(INDEX([1]!Product_Pricing_Table[#Data],MATCH(DQ$1,Products,0),2)="Cores",IF(HostBuild[Use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4" s="59">
        <f>IFERROR(IF(FIND(DR$1,$W74)&gt;0,IF(INDEX([1]!Product_Pricing_Table[#Data],MATCH(DR$1,Products,0),2)="Cores",IF(HostBuild[Use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4" s="59">
        <f>IFERROR(IF(FIND(DS$1,$W74)&gt;0,IF(INDEX([1]!Product_Pricing_Table[#Data],MATCH(DS$1,Products,0),2)="Cores",IF(HostBuild[Use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4" s="59">
        <f>IFERROR(IF(FIND(DT$1,$W74)&gt;0,IF(INDEX([1]!Product_Pricing_Table[#Data],MATCH(DT$1,Products,0),2)="Cores",IF(HostBuild[Use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4" s="59">
        <f>IFERROR(IF(FIND(DU$1,$W74)&gt;0,IF(INDEX([1]!Product_Pricing_Table[#Data],MATCH(DU$1,Products,0),2)="Cores",IF(HostBuild[Use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4" s="59">
        <f>IFERROR(IF(FIND(DV$1,$W74)&gt;0,IF(INDEX([1]!Product_Pricing_Table[#Data],MATCH(DV$1,Products,0),2)="Cores",IF(HostBuild[Use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4" s="59">
        <f>IFERROR(IF(FIND(DW$1,$W74)&gt;0,IF(INDEX([1]!Product_Pricing_Table[#Data],MATCH(DW$1,Products,0),2)="Cores",IF(HostBuild[Use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4" s="59">
        <f>IFERROR(IF(FIND(DX$1,$W74)&gt;0,IF(INDEX([1]!Product_Pricing_Table[#Data],MATCH(DX$1,Products,0),2)="Cores",IF(HostBuild[Use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4" s="59">
        <f>IFERROR(IF(FIND(DY$1,$W74)&gt;0,IF(INDEX([1]!Product_Pricing_Table[#Data],MATCH(DY$1,Products,0),2)="Cores",IF(HostBuild[Use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4" s="59">
        <f>IFERROR(IF(FIND(DZ$1,$W74)&gt;0,IF(INDEX([1]!Product_Pricing_Table[#Data],MATCH(DZ$1,Products,0),2)="Cores",IF(HostBuild[Use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4" s="59">
        <f>IFERROR(IF(FIND(EA$1,$W74)&gt;0,IF(INDEX([1]!Product_Pricing_Table[#Data],MATCH(EA$1,Products,0),2)="Cores",IF(HostBuild[Use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4" s="59">
        <f>IFERROR(IF(FIND(EB$1,$W74)&gt;0,IF(INDEX([1]!Product_Pricing_Table[#Data],MATCH(EB$1,Products,0),2)="Cores",IF(HostBuild[Use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4" s="60">
        <f>IFERROR(IF(FIND(EC$1,$W74)&gt;0,IF(INDEX([1]!Product_Pricing_Table[#Data],MATCH(EC$1,Products,0),2)="Cores",IF(HostBuild[Use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4" s="59">
        <f>IFERROR(IF(FIND(ED$1,$W74)&gt;0,IF(INDEX([1]!Product_Pricing_Table[#Data],MATCH(ED$1,Products,0),2)="Cores",IF(HostBuild[Use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4" s="59">
        <f>IFERROR(IF(FIND(EE$1,$W74)&gt;0,IF(INDEX([1]!Product_Pricing_Table[#Data],MATCH(EE$1,Products,0),2)="Cores",IF(HostBuild[Use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4" s="59">
        <f>IFERROR(IF(FIND(EF$1,$W74)&gt;0,IF(INDEX([1]!Product_Pricing_Table[#Data],MATCH(EF$1,Products,0),2)="Cores",IF(HostBuild[Use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4" s="59">
        <f>IFERROR(IF(FIND(EG$1,$W74)&gt;0,IF(INDEX([1]!Product_Pricing_Table[#Data],MATCH(EG$1,Products,0),2)="Cores",IF(HostBuild[Use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4" s="59">
        <f>IFERROR(IF(FIND(EH$1,$W74)&gt;0,IF(INDEX([1]!Product_Pricing_Table[#Data],MATCH(EH$1,Products,0),2)="Cores",IF(HostBuild[Use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4" s="59">
        <f>IFERROR(IF(FIND(EI$1,$W74)&gt;0,IF(INDEX([1]!Product_Pricing_Table[#Data],MATCH(EI$1,Products,0),2)="Cores",IF(HostBuild[Use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4" s="59">
        <f>IFERROR(IF(FIND(EJ$1,$W74)&gt;0,IF(INDEX([1]!Product_Pricing_Table[#Data],MATCH(EJ$1,Products,0),2)="Cores",IF(HostBuild[Use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4" s="60">
        <f>IFERROR(IF(FIND(EK$1,$W74)&gt;0,IF(INDEX([1]!Product_Pricing_Table[#Data],MATCH(EK$1,Products,0),2)="Cores",IF(HostBuild[Use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4" s="61"/>
      <c r="EM74" s="62"/>
      <c r="EN74" s="63"/>
      <c r="EO74"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7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97.73</v>
      </c>
      <c r="EQ74" s="132">
        <f>(HostBuild[Archive
Full (GB)]+HostBuild[Archive
Incr (GB)])*Storage_DC_Dist_Tape_2014</f>
        <v>12.819624999999998</v>
      </c>
      <c r="ER74" s="132">
        <f>IF(ISNUMBER(HostBuild[Server HW Costs
(Monthly)]),SUM(HostBuild[[#This Row],[Server HW Costs
(Monthly)]:[Tape Costs
(Monthly)]]),0)</f>
        <v>110.54962500000001</v>
      </c>
      <c r="ES74" s="65">
        <f>HostBuild[Software Costs
'[Year 1']
(Monthly)]+HostBuild[Total Hardware Costs
(Monthly)]</f>
        <v>110.54962500000001</v>
      </c>
      <c r="ET74" s="65">
        <f>IFERROR(IF(FIND("Safenet",HostBuild[Server Model]),Safenet_PSE_PL600_Maint,0),0)+IFERROR(IF(FIND("XI52",HostBuild[Server Model]),IBM_DIA_XI52_Maint,0),0)+HostBuild[Software Costs
'[After Year 1']
(Monthly)]+HostBuild[Total Hardware Costs
(Monthly)]</f>
        <v>110.54962500000001</v>
      </c>
      <c r="EU74" s="66">
        <f>SUM(HostBuild[[#This Row],[Server Cost Breakdown]:[Network Cost]])</f>
        <v>0</v>
      </c>
      <c r="EV74" s="67">
        <f>IF(HostBuild[Existing Server?]="Yes - Inside this BoM",0,SUMIF(HostBuild[Alias],HostBuild[Alias],HostBuild[CPU])+SUMIF(HostBuild[Alias],HostBuild[Alias],HostBuild[Existing CPUs]))</f>
        <v>0</v>
      </c>
      <c r="EW74" s="67">
        <f>IF(HostBuild[Existing Server?]="Yes - Inside this BoM",0,SUMIF(HostBuild[Alias],HostBuild[Alias],HostBuild[Cores 
(Licensed Units)])+SUMIF(HostBuild[Alias],HostBuild[Alias],HostBuild[Existing Cores]))</f>
        <v>0</v>
      </c>
      <c r="EX74" s="67">
        <f>IF(HostBuild[Existing Server?]="Yes - Inside this BoM",0,SUMIF(HostBuild[Alias],HostBuild[Alias],HostBuild[RAM 
(GB)])+SUMIF(HostBuild[Alias],HostBuild[Alias],HostBuild[Existing RAM (GB)]))</f>
        <v>0</v>
      </c>
      <c r="EY7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4" s="66">
        <f>IF(ISBLANK(HostBuild[Server Model]),0,IF(HostBuild[Server Tier]="VMware",0,VLOOKUP(HostBuild[Server Tier],[1]!ServerTierRates[#Data],2,0))*HostBuild[CPU]*IF(AND(HostBuild[Server Type]="pSeries",HostBuild[Virtual Platform Storage Type]="Cloud-SAN"),0.25,1))</f>
        <v>0</v>
      </c>
      <c r="FD74" s="66">
        <f>0</f>
        <v>0</v>
      </c>
      <c r="FE74" s="66">
        <f>IF(HostBuild[Server Type]="VMware",HostBuild[RAM 
(GB)]*IF(ISERROR(FIND("DevCloud", HostBuild[Server Model])&gt;0),vRAM_per_vCPU_2014_Monthly,vRAM_per_vCPU_2014_Daily*30),0)</f>
        <v>0</v>
      </c>
      <c r="FF7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4" s="69">
        <f>IF(HostBuild[Server Tier]="VMware",0,IF(LEFT(HostBuild[Existing Server?],3)="Yes",0,IF(OR(HostBuild[Server Type]="Sun",HostBuild[Server Type]="pSeries"),Support_Direct_Server_Sun_per_OS_2014,IF(HostBuild[Server Type]="x86",Support_Direct_Server_x86_Wintel_per_OS_2014,0))))</f>
        <v>0</v>
      </c>
      <c r="FI7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5" spans="1:165" hidden="1">
      <c r="A75" s="122" t="s">
        <v>53</v>
      </c>
      <c r="B75" s="36"/>
      <c r="C75" s="36"/>
      <c r="D75" s="36"/>
      <c r="E75" s="37"/>
      <c r="F75" s="37"/>
      <c r="G75" s="103"/>
      <c r="H75" s="103"/>
      <c r="I75" s="38"/>
      <c r="J75" s="37"/>
      <c r="K75" s="37"/>
      <c r="L75" s="37"/>
      <c r="M75" s="103" t="e">
        <f ca="1">IF(rngIsDate(HostBuild[CTO Acceptance]),"Y","N")</f>
        <v>#NAME?</v>
      </c>
      <c r="N75" s="123" t="s">
        <v>3</v>
      </c>
      <c r="O75" s="39"/>
      <c r="P75" s="39"/>
      <c r="Q75" s="123" t="s">
        <v>1</v>
      </c>
      <c r="R75" s="126" t="str">
        <f>IF(NOT(ISBLANK(HostBuild[Env Label])),IFERROR(VLOOKUP(HostBuild[Env Label],[1]!tEnv[#Data],3,FALSE),""),"")</f>
        <v/>
      </c>
      <c r="S75" s="104"/>
      <c r="T75" s="40"/>
      <c r="U75" s="105"/>
      <c r="V75" s="123" t="s">
        <v>69</v>
      </c>
      <c r="W75" s="123" t="s">
        <v>70</v>
      </c>
      <c r="X75" s="123" t="s">
        <v>57</v>
      </c>
      <c r="Y75" s="123" t="s">
        <v>58</v>
      </c>
      <c r="Z75" s="126" t="str">
        <f>IF(NOT(ISBLANK(HostBuild[[#This Row],[Product 
(Acronym)]])),CONCATENATE(HostBuild[[#This Row],[Type]],"-",HostBuild[[#This Row],[Product 
(Acronym)]]),"")</f>
        <v>AP-ESB</v>
      </c>
      <c r="AA75" s="106"/>
      <c r="AB75" s="106" t="s">
        <v>59</v>
      </c>
      <c r="AC75" s="41"/>
      <c r="AD75" s="42"/>
      <c r="AE75" s="42"/>
      <c r="AF75" s="43" t="s">
        <v>60</v>
      </c>
      <c r="AG75" s="124"/>
      <c r="AH75" s="107"/>
      <c r="AI75" s="124" t="s">
        <v>158</v>
      </c>
      <c r="AJ75" s="123">
        <f>IF(COUNTIF(HostBuild[Alias],HostBuild[Alias]),1/COUNTIF(HostBuild[Alias],HostBuild[Alias]),0)</f>
        <v>1</v>
      </c>
      <c r="AK75" s="124"/>
      <c r="AL75" s="124"/>
      <c r="AM75" s="44" t="s">
        <v>62</v>
      </c>
      <c r="AN75" s="45" t="str">
        <f>IF(NOT(ISBLANK(HostBuild[Server Model])),VLOOKUP(HostBuild[Server Model],[1]!ServerModelsTier[#Data],2,FALSE),"")</f>
        <v>x86 Tier 3</v>
      </c>
      <c r="AO75" s="45" t="str">
        <f>IF(NOT(ISBLANK(HostBuild[Server Model])),VLOOKUP(HostBuild[Server Model],[1]!ServerModelsTier[#Data],5,FALSE),"")</f>
        <v>x86</v>
      </c>
      <c r="AP75" s="44"/>
      <c r="AQ75" s="44" t="s">
        <v>63</v>
      </c>
      <c r="AR75" s="46"/>
      <c r="AS75" s="108"/>
      <c r="AT75" s="47"/>
      <c r="AU75" s="109" t="str">
        <f>IF(IFERROR(FIND("P-Series",HostBuild[Server Tier]),0),CEILING((HostBuild[Existing CPUs]+HostBuild[CPU])*16,8),"")</f>
        <v/>
      </c>
      <c r="AV75" s="48"/>
      <c r="AW75" s="124"/>
      <c r="AX75" s="124"/>
      <c r="AY75" s="124"/>
      <c r="AZ75" s="49"/>
      <c r="BA75" s="124"/>
      <c r="BB75" s="124"/>
      <c r="BC75" s="42"/>
      <c r="BD75" s="124"/>
      <c r="BE75" s="124"/>
      <c r="BF75" s="124"/>
      <c r="BG75" s="124"/>
      <c r="BH75" s="124"/>
      <c r="BI75" s="124"/>
      <c r="BJ75" s="124"/>
      <c r="BK75"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75" s="127">
        <v>60</v>
      </c>
      <c r="BM75" s="129">
        <f>IF(ISNUMBER(HostBuild[Recommended SAN (GB)]),HostBuild[Recommended SAN (GB)])+IF(HostBuild[Additional SAN (GB)]&gt;0,CEILING(HostBuild[Additional SAN (GB)],LUN),-(CEILING(-HostBuild[Additional SAN (GB)],LUN)))</f>
        <v>67.400000000000006</v>
      </c>
      <c r="BN75" s="128"/>
      <c r="BO75" s="129">
        <f>HostBuild[SAN (GB)
NEEDED TODAY]+CEILING(HostBuild[SAN (GB)
RESERVED
DO NOT USE TO BUILD], LUN)</f>
        <v>67.400000000000006</v>
      </c>
      <c r="BP75" s="130"/>
      <c r="BQ75" s="131"/>
      <c r="BR75" s="125" t="s">
        <v>76</v>
      </c>
      <c r="BS75" s="110">
        <f>IF(HostBuild[Existing Server?]&lt;&gt;"Yes - Inside this BoM",IF(ISNUMBER(HostBuild[RAM 
(GB)]),IF(HostBuild[Existing RAM (GB)]+HostBuild[RAM 
(GB)]&gt;0,IF(HostBuild[Virtual Platform Storage Type]="NAS",110+HostBuild[Existing RAM (GB)]+HostBuild[RAM 
(GB)]*1.75,0),0),0),0)</f>
        <v>0</v>
      </c>
      <c r="BT75" s="111"/>
      <c r="BU75" s="112">
        <f>IF(ISNUMBER(HostBuild[Recommended NAS (GB)]),HostBuild[Recommended NAS (GB)])+HostBuild[Additional NAS (GB)]</f>
        <v>0</v>
      </c>
      <c r="BV75" s="50"/>
      <c r="BW75" s="50"/>
      <c r="BX75" s="133">
        <f>IFERROR((HostBuild[SAN (GB)
End-State
DO NOT USE TO BUILD]+HostBuild[SAN (GB) Shared])*25%,"")</f>
        <v>16.850000000000001</v>
      </c>
      <c r="BY75" s="113">
        <f>IFERROR(HostBuild[Archive
Full (GB)]*15%,"")</f>
        <v>2.5275000000000003</v>
      </c>
      <c r="BZ75" s="51"/>
      <c r="CA75" s="51"/>
      <c r="CB75" s="52"/>
      <c r="CC75" s="53"/>
      <c r="CD75" s="52"/>
      <c r="CE75" s="54"/>
      <c r="CF75" s="128"/>
      <c r="CG75" s="114"/>
      <c r="CH75" s="55"/>
      <c r="CI75" s="56"/>
      <c r="CJ75" s="57" t="s">
        <v>65</v>
      </c>
      <c r="CK75" s="58"/>
      <c r="CL75" s="59">
        <f>IFERROR(IF(FIND(CL$1,$W75)&gt;0,IF(INDEX([1]!Product_Pricing_Table[#Data],MATCH(CL$1,Products,0),2)="Cores",IF(HostBuild[Use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5" s="59">
        <f>IFERROR(IF(FIND(CM$1,$W75)&gt;0,IF(INDEX([1]!Product_Pricing_Table[#Data],MATCH(CM$1,Products,0),2)="Cores",IF(HostBuild[Use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5" s="59">
        <f>IFERROR(IF(FIND(CN$1,$W75)&gt;0,IF(INDEX([1]!Product_Pricing_Table[#Data],MATCH(CN$1,Products,0),2)="Cores",IF(HostBuild[Use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5" s="59">
        <f>IFERROR(IF(FIND(CO$1,$W75)&gt;0,IF(INDEX([1]!Product_Pricing_Table[#Data],MATCH(CO$1,Products,0),2)="Cores",IF(HostBuild[Use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5" s="59">
        <f>IFERROR(IF(FIND(CP$1,$W75)&gt;0,IF(INDEX([1]!Product_Pricing_Table[#Data],MATCH(CP$1,Products,0),2)="Cores",IF(HostBuild[Use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5" s="59">
        <f>IFERROR(IF(FIND(CQ$1,$W75)&gt;0,IF(INDEX([1]!Product_Pricing_Table[#Data],MATCH(CQ$1,Products,0),2)="Cores",IF(HostBuild[Use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5" s="59">
        <f>IFERROR(IF(FIND(CR$1,$W75)&gt;0,IF(INDEX([1]!Product_Pricing_Table[#Data],MATCH(CR$1,Products,0),2)="Cores",IF(HostBuild[Use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5" s="59">
        <f>IFERROR(IF(FIND(CS$1,$W75)&gt;0,IF(INDEX([1]!Product_Pricing_Table[#Data],MATCH(CS$1,Products,0),2)="Cores",IF(HostBuild[Use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5" s="59">
        <f>IFERROR(IF(FIND(CT$1,$W75)&gt;0,IF(INDEX([1]!Product_Pricing_Table[#Data],MATCH(CT$1,Products,0),2)="Cores",IF(HostBuild[Use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5" s="59">
        <f>IFERROR(IF(FIND(CU$1,$W75)&gt;0,IF(INDEX([1]!Product_Pricing_Table[#Data],MATCH(CU$1,Products,0),2)="Cores",IF(HostBuild[Use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5" s="59">
        <f>IFERROR(IF(FIND(CV$1,$W75)&gt;0,IF(INDEX([1]!Product_Pricing_Table[#Data],MATCH(CV$1,Products,0),2)="Cores",IF(HostBuild[Use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5" s="59">
        <f>IFERROR(IF(FIND(CW$1,$W75)&gt;0,IF(INDEX([1]!Product_Pricing_Table[#Data],MATCH(CW$1,Products,0),2)="Cores",IF(HostBuild[Use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5" s="59">
        <f>IFERROR(IF(FIND(CX$1,$W75)&gt;0,IF(INDEX([1]!Product_Pricing_Table[#Data],MATCH(CX$1,Products,0),2)="Cores",IF(HostBuild[Use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5" s="59">
        <f>IFERROR(IF(FIND(CY$1,$W75)&gt;0,IF(INDEX([1]!Product_Pricing_Table[#Data],MATCH(CY$1,Products,0),2)="Cores",IF(HostBuild[Use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5" s="59">
        <f>IFERROR(IF(FIND(CZ$1,$W75)&gt;0,IF(INDEX([1]!Product_Pricing_Table[#Data],MATCH(CZ$1,Products,0),2)="Cores",IF(HostBuild[Use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5" s="59">
        <f>IFERROR(IF(FIND(DA$1,$W75)&gt;0,IF(INDEX([1]!Product_Pricing_Table[#Data],MATCH(DA$1,Products,0),2)="Cores",IF(HostBuild[Use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5" s="59">
        <f>IFERROR(IF(FIND(DB$1,$W75)&gt;0,IF(INDEX([1]!Product_Pricing_Table[#Data],MATCH(DB$1,Products,0),2)="Cores",IF(HostBuild[Use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5" s="59">
        <f>IFERROR(IF(FIND(DC$1,$W75)&gt;0,IF(INDEX([1]!Product_Pricing_Table[#Data],MATCH(DC$1,Products,0),2)="Cores",IF(HostBuild[Use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5" s="59">
        <f>IFERROR(IF(FIND(DD$1,$W75)&gt;0,IF(INDEX([1]!Product_Pricing_Table[#Data],MATCH(DD$1,Products,0),2)="Cores",IF(HostBuild[Use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5" s="59">
        <f>IFERROR(IF(FIND(DE$1,$W75)&gt;0,IF(INDEX([1]!Product_Pricing_Table[#Data],MATCH(DE$1,Products,0),2)="Cores",IF(HostBuild[Use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5" s="60">
        <f>IFERROR(IF(FIND(DF$1,$W75)&gt;0,IF(INDEX([1]!Product_Pricing_Table[#Data],MATCH(DF$1,Products,0),2)="Cores",IF(HostBuild[Use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5" s="60">
        <f>IFERROR(IF(FIND(DG$1,$W75)&gt;0,IF(INDEX([1]!Product_Pricing_Table[#Data],MATCH(DG$1,Products,0),2)="Cores",IF(HostBuild[Use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5" s="59">
        <f>IFERROR(IF(FIND(DH$1,$W75)&gt;0,IF(INDEX([1]!Product_Pricing_Table[#Data],MATCH(DH$1,Products,0),2)="Cores",IF(HostBuild[Use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5" s="60">
        <f>IFERROR(IF(FIND(DI$1,$W75)&gt;0,IF(INDEX([1]!Product_Pricing_Table[#Data],MATCH(DI$1,Products,0),2)="Cores",IF(HostBuild[Use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5" s="59">
        <f>IFERROR(IF(FIND(DJ$1,$W75)&gt;0,IF(INDEX([1]!Product_Pricing_Table[#Data],MATCH(DJ$1,Products,0),2)="Cores",IF(HostBuild[Use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5" s="59">
        <f>IFERROR(IF(FIND(DK$1,$W75)&gt;0,IF(INDEX([1]!Product_Pricing_Table[#Data],MATCH(DK$1,Products,0),2)="Cores",IF(HostBuild[Use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5" s="59">
        <f>IFERROR(IF(FIND(DL$1,$W75)&gt;0,IF(INDEX([1]!Product_Pricing_Table[#Data],MATCH(DL$1,Products,0),2)="Cores",IF(HostBuild[Use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5" s="59">
        <f>IFERROR(IF(FIND(DM$1,$W75)&gt;0,IF(INDEX([1]!Product_Pricing_Table[#Data],MATCH(DM$1,Products,0),2)="Cores",IF(HostBuild[Use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5" s="59">
        <f>IFERROR(IF(FIND(DN$1,$W75)&gt;0,IF(INDEX([1]!Product_Pricing_Table[#Data],MATCH(DN$1,Products,0),2)="Cores",IF(HostBuild[Use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5" s="59">
        <f>IFERROR(IF(FIND(DO$1,$W75)&gt;0,IF(INDEX([1]!Product_Pricing_Table[#Data],MATCH(DO$1,Products,0),2)="Cores",IF(HostBuild[Use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5" s="59">
        <f>IFERROR(IF(FIND(DP$1,$W75)&gt;0,IF(INDEX([1]!Product_Pricing_Table[#Data],MATCH(DP$1,Products,0),2)="Cores",IF(HostBuild[Use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5" s="59">
        <f>IFERROR(IF(FIND(DQ$1,$W75)&gt;0,IF(INDEX([1]!Product_Pricing_Table[#Data],MATCH(DQ$1,Products,0),2)="Cores",IF(HostBuild[Use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5" s="59">
        <f>IFERROR(IF(FIND(DR$1,$W75)&gt;0,IF(INDEX([1]!Product_Pricing_Table[#Data],MATCH(DR$1,Products,0),2)="Cores",IF(HostBuild[Use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5" s="59">
        <f>IFERROR(IF(FIND(DS$1,$W75)&gt;0,IF(INDEX([1]!Product_Pricing_Table[#Data],MATCH(DS$1,Products,0),2)="Cores",IF(HostBuild[Use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5" s="59">
        <f>IFERROR(IF(FIND(DT$1,$W75)&gt;0,IF(INDEX([1]!Product_Pricing_Table[#Data],MATCH(DT$1,Products,0),2)="Cores",IF(HostBuild[Use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5" s="59">
        <f>IFERROR(IF(FIND(DU$1,$W75)&gt;0,IF(INDEX([1]!Product_Pricing_Table[#Data],MATCH(DU$1,Products,0),2)="Cores",IF(HostBuild[Use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5" s="59">
        <f>IFERROR(IF(FIND(DV$1,$W75)&gt;0,IF(INDEX([1]!Product_Pricing_Table[#Data],MATCH(DV$1,Products,0),2)="Cores",IF(HostBuild[Use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5" s="59">
        <f>IFERROR(IF(FIND(DW$1,$W75)&gt;0,IF(INDEX([1]!Product_Pricing_Table[#Data],MATCH(DW$1,Products,0),2)="Cores",IF(HostBuild[Use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5" s="59">
        <f>IFERROR(IF(FIND(DX$1,$W75)&gt;0,IF(INDEX([1]!Product_Pricing_Table[#Data],MATCH(DX$1,Products,0),2)="Cores",IF(HostBuild[Use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5" s="59">
        <f>IFERROR(IF(FIND(DY$1,$W75)&gt;0,IF(INDEX([1]!Product_Pricing_Table[#Data],MATCH(DY$1,Products,0),2)="Cores",IF(HostBuild[Use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5" s="59">
        <f>IFERROR(IF(FIND(DZ$1,$W75)&gt;0,IF(INDEX([1]!Product_Pricing_Table[#Data],MATCH(DZ$1,Products,0),2)="Cores",IF(HostBuild[Use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5" s="59">
        <f>IFERROR(IF(FIND(EA$1,$W75)&gt;0,IF(INDEX([1]!Product_Pricing_Table[#Data],MATCH(EA$1,Products,0),2)="Cores",IF(HostBuild[Use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5" s="59">
        <f>IFERROR(IF(FIND(EB$1,$W75)&gt;0,IF(INDEX([1]!Product_Pricing_Table[#Data],MATCH(EB$1,Products,0),2)="Cores",IF(HostBuild[Use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5" s="60">
        <f>IFERROR(IF(FIND(EC$1,$W75)&gt;0,IF(INDEX([1]!Product_Pricing_Table[#Data],MATCH(EC$1,Products,0),2)="Cores",IF(HostBuild[Use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5" s="59">
        <f>IFERROR(IF(FIND(ED$1,$W75)&gt;0,IF(INDEX([1]!Product_Pricing_Table[#Data],MATCH(ED$1,Products,0),2)="Cores",IF(HostBuild[Use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5" s="59">
        <f>IFERROR(IF(FIND(EE$1,$W75)&gt;0,IF(INDEX([1]!Product_Pricing_Table[#Data],MATCH(EE$1,Products,0),2)="Cores",IF(HostBuild[Use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5" s="59">
        <f>IFERROR(IF(FIND(EF$1,$W75)&gt;0,IF(INDEX([1]!Product_Pricing_Table[#Data],MATCH(EF$1,Products,0),2)="Cores",IF(HostBuild[Use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5" s="59">
        <f>IFERROR(IF(FIND(EG$1,$W75)&gt;0,IF(INDEX([1]!Product_Pricing_Table[#Data],MATCH(EG$1,Products,0),2)="Cores",IF(HostBuild[Use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5" s="59">
        <f>IFERROR(IF(FIND(EH$1,$W75)&gt;0,IF(INDEX([1]!Product_Pricing_Table[#Data],MATCH(EH$1,Products,0),2)="Cores",IF(HostBuild[Use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5" s="59">
        <f>IFERROR(IF(FIND(EI$1,$W75)&gt;0,IF(INDEX([1]!Product_Pricing_Table[#Data],MATCH(EI$1,Products,0),2)="Cores",IF(HostBuild[Use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5" s="59">
        <f>IFERROR(IF(FIND(EJ$1,$W75)&gt;0,IF(INDEX([1]!Product_Pricing_Table[#Data],MATCH(EJ$1,Products,0),2)="Cores",IF(HostBuild[Use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5" s="60">
        <f>IFERROR(IF(FIND(EK$1,$W75)&gt;0,IF(INDEX([1]!Product_Pricing_Table[#Data],MATCH(EK$1,Products,0),2)="Cores",IF(HostBuild[Use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5" s="61"/>
      <c r="EM75" s="62"/>
      <c r="EN75" s="63"/>
      <c r="EO75"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7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30.330000000000002</v>
      </c>
      <c r="EQ75" s="132">
        <f>(HostBuild[Archive
Full (GB)]+HostBuild[Archive
Incr (GB)])*Storage_DC_Dist_Tape_2014</f>
        <v>6.7821249999999997</v>
      </c>
      <c r="ER75" s="132">
        <f>IF(ISNUMBER(HostBuild[Server HW Costs
(Monthly)]),SUM(HostBuild[[#This Row],[Server HW Costs
(Monthly)]:[Tape Costs
(Monthly)]]),0)</f>
        <v>37.112124999999999</v>
      </c>
      <c r="ES75" s="65">
        <f>HostBuild[Software Costs
'[Year 1']
(Monthly)]+HostBuild[Total Hardware Costs
(Monthly)]</f>
        <v>37.112124999999999</v>
      </c>
      <c r="ET75" s="65">
        <f>IFERROR(IF(FIND("Safenet",HostBuild[Server Model]),Safenet_PSE_PL600_Maint,0),0)+IFERROR(IF(FIND("XI52",HostBuild[Server Model]),IBM_DIA_XI52_Maint,0),0)+HostBuild[Software Costs
'[After Year 1']
(Monthly)]+HostBuild[Total Hardware Costs
(Monthly)]</f>
        <v>37.112124999999999</v>
      </c>
      <c r="EU75" s="66">
        <f>SUM(HostBuild[[#This Row],[Server Cost Breakdown]:[Network Cost]])</f>
        <v>0</v>
      </c>
      <c r="EV75" s="67">
        <f>IF(HostBuild[Existing Server?]="Yes - Inside this BoM",0,SUMIF(HostBuild[Alias],HostBuild[Alias],HostBuild[CPU])+SUMIF(HostBuild[Alias],HostBuild[Alias],HostBuild[Existing CPUs]))</f>
        <v>0</v>
      </c>
      <c r="EW75" s="67">
        <f>IF(HostBuild[Existing Server?]="Yes - Inside this BoM",0,SUMIF(HostBuild[Alias],HostBuild[Alias],HostBuild[Cores 
(Licensed Units)])+SUMIF(HostBuild[Alias],HostBuild[Alias],HostBuild[Existing Cores]))</f>
        <v>0</v>
      </c>
      <c r="EX75" s="67">
        <f>IF(HostBuild[Existing Server?]="Yes - Inside this BoM",0,SUMIF(HostBuild[Alias],HostBuild[Alias],HostBuild[RAM 
(GB)])+SUMIF(HostBuild[Alias],HostBuild[Alias],HostBuild[Existing RAM (GB)]))</f>
        <v>0</v>
      </c>
      <c r="EY7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5" s="66">
        <f>IF(ISBLANK(HostBuild[Server Model]),0,IF(HostBuild[Server Tier]="VMware",0,VLOOKUP(HostBuild[Server Tier],[1]!ServerTierRates[#Data],2,0))*HostBuild[CPU]*IF(AND(HostBuild[Server Type]="pSeries",HostBuild[Virtual Platform Storage Type]="Cloud-SAN"),0.25,1))</f>
        <v>0</v>
      </c>
      <c r="FD75" s="66">
        <f>0</f>
        <v>0</v>
      </c>
      <c r="FE75" s="66">
        <f>IF(HostBuild[Server Type]="VMware",HostBuild[RAM 
(GB)]*IF(ISERROR(FIND("DevCloud", HostBuild[Server Model])&gt;0),vRAM_per_vCPU_2014_Monthly,vRAM_per_vCPU_2014_Daily*30),0)</f>
        <v>0</v>
      </c>
      <c r="FF7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5" s="69">
        <f>IF(HostBuild[Server Tier]="VMware",0,IF(LEFT(HostBuild[Existing Server?],3)="Yes",0,IF(OR(HostBuild[Server Type]="Sun",HostBuild[Server Type]="pSeries"),Support_Direct_Server_Sun_per_OS_2014,IF(HostBuild[Server Type]="x86",Support_Direct_Server_x86_Wintel_per_OS_2014,0))))</f>
        <v>0</v>
      </c>
      <c r="FI7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6" spans="1:165" hidden="1">
      <c r="A76" s="122" t="s">
        <v>53</v>
      </c>
      <c r="B76" s="36"/>
      <c r="C76" s="36"/>
      <c r="D76" s="36"/>
      <c r="E76" s="37"/>
      <c r="F76" s="37"/>
      <c r="G76" s="103"/>
      <c r="H76" s="103"/>
      <c r="I76" s="38"/>
      <c r="J76" s="37"/>
      <c r="K76" s="37"/>
      <c r="L76" s="37"/>
      <c r="M76" s="103" t="e">
        <f ca="1">IF(rngIsDate(HostBuild[CTO Acceptance]),"Y","N")</f>
        <v>#NAME?</v>
      </c>
      <c r="N76" s="123" t="s">
        <v>3</v>
      </c>
      <c r="O76" s="39"/>
      <c r="P76" s="39"/>
      <c r="Q76" s="123" t="s">
        <v>1</v>
      </c>
      <c r="R76" s="126" t="str">
        <f>IF(NOT(ISBLANK(HostBuild[Env Label])),IFERROR(VLOOKUP(HostBuild[Env Label],[1]!tEnv[#Data],3,FALSE),""),"")</f>
        <v/>
      </c>
      <c r="S76" s="104"/>
      <c r="T76" s="40"/>
      <c r="U76" s="105"/>
      <c r="V76" s="123" t="s">
        <v>75</v>
      </c>
      <c r="W76" s="123" t="s">
        <v>70</v>
      </c>
      <c r="X76" s="123" t="s">
        <v>57</v>
      </c>
      <c r="Y76" s="123" t="s">
        <v>58</v>
      </c>
      <c r="Z76" s="126" t="str">
        <f>IF(NOT(ISBLANK(HostBuild[[#This Row],[Product 
(Acronym)]])),CONCATENATE(HostBuild[[#This Row],[Type]],"-",HostBuild[[#This Row],[Product 
(Acronym)]]),"")</f>
        <v>AP-ESB</v>
      </c>
      <c r="AA76" s="106"/>
      <c r="AB76" s="106" t="s">
        <v>171</v>
      </c>
      <c r="AC76" s="41"/>
      <c r="AD76" s="42"/>
      <c r="AE76" s="42"/>
      <c r="AF76" s="43"/>
      <c r="AG76" s="124"/>
      <c r="AH76" s="107"/>
      <c r="AI76" s="124" t="s">
        <v>159</v>
      </c>
      <c r="AJ76" s="123">
        <f>IF(COUNTIF(HostBuild[Alias],HostBuild[Alias]),1/COUNTIF(HostBuild[Alias],HostBuild[Alias]),0)</f>
        <v>1</v>
      </c>
      <c r="AK76" s="124"/>
      <c r="AL76" s="124"/>
      <c r="AM76" s="44" t="s">
        <v>62</v>
      </c>
      <c r="AN76" s="45" t="str">
        <f>IF(NOT(ISBLANK(HostBuild[Server Model])),VLOOKUP(HostBuild[Server Model],[1]!ServerModelsTier[#Data],2,FALSE),"")</f>
        <v>x86 Tier 3</v>
      </c>
      <c r="AO76" s="45" t="str">
        <f>IF(NOT(ISBLANK(HostBuild[Server Model])),VLOOKUP(HostBuild[Server Model],[1]!ServerModelsTier[#Data],5,FALSE),"")</f>
        <v>x86</v>
      </c>
      <c r="AP76" s="44"/>
      <c r="AQ76" s="44" t="s">
        <v>63</v>
      </c>
      <c r="AR76" s="46"/>
      <c r="AS76" s="108"/>
      <c r="AT76" s="47">
        <v>16</v>
      </c>
      <c r="AU76" s="109" t="str">
        <f>IF(IFERROR(FIND("P-Series",HostBuild[Server Tier]),0),CEILING((HostBuild[Existing CPUs]+HostBuild[CPU])*16,8),"")</f>
        <v/>
      </c>
      <c r="AV76" s="48"/>
      <c r="AW76" s="124"/>
      <c r="AX76" s="124"/>
      <c r="AY76" s="124"/>
      <c r="AZ76" s="49"/>
      <c r="BA76" s="124"/>
      <c r="BB76" s="124"/>
      <c r="BC76" s="42"/>
      <c r="BD76" s="124"/>
      <c r="BE76" s="124"/>
      <c r="BF76" s="124"/>
      <c r="BG76" s="124"/>
      <c r="BH76" s="124"/>
      <c r="BI76" s="124"/>
      <c r="BJ76" s="124"/>
      <c r="BK76"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76" s="127">
        <v>270</v>
      </c>
      <c r="BM76" s="129">
        <f>IF(ISNUMBER(HostBuild[Recommended SAN (GB)]),HostBuild[Recommended SAN (GB)])+IF(HostBuild[Additional SAN (GB)]&gt;0,CEILING(HostBuild[Additional SAN (GB)],LUN),-(CEILING(-HostBuild[Additional SAN (GB)],LUN)))</f>
        <v>303.3</v>
      </c>
      <c r="BN76" s="128"/>
      <c r="BO76" s="129">
        <f>HostBuild[SAN (GB)
NEEDED TODAY]+CEILING(HostBuild[SAN (GB)
RESERVED
DO NOT USE TO BUILD], LUN)</f>
        <v>303.3</v>
      </c>
      <c r="BP76" s="130">
        <v>120</v>
      </c>
      <c r="BQ76" s="131"/>
      <c r="BR76" s="125" t="s">
        <v>76</v>
      </c>
      <c r="BS76" s="110">
        <f>IF(HostBuild[Existing Server?]&lt;&gt;"Yes - Inside this BoM",IF(ISNUMBER(HostBuild[RAM 
(GB)]),IF(HostBuild[Existing RAM (GB)]+HostBuild[RAM 
(GB)]&gt;0,IF(HostBuild[Virtual Platform Storage Type]="NAS",110+HostBuild[Existing RAM (GB)]+HostBuild[RAM 
(GB)]*1.75,0),0),0),0)</f>
        <v>0</v>
      </c>
      <c r="BT76" s="111"/>
      <c r="BU76" s="112">
        <f>IF(ISNUMBER(HostBuild[Recommended NAS (GB)]),HostBuild[Recommended NAS (GB)])+HostBuild[Additional NAS (GB)]</f>
        <v>0</v>
      </c>
      <c r="BV76" s="50"/>
      <c r="BW76" s="50"/>
      <c r="BX76" s="133">
        <f>IFERROR((HostBuild[SAN (GB)
End-State
DO NOT USE TO BUILD]+HostBuild[SAN (GB) Shared])*25%,"")</f>
        <v>105.825</v>
      </c>
      <c r="BY76" s="113">
        <f>IFERROR(HostBuild[Archive
Full (GB)]*15%,"")</f>
        <v>15.873749999999999</v>
      </c>
      <c r="BZ76" s="51"/>
      <c r="CA76" s="51"/>
      <c r="CB76" s="52"/>
      <c r="CC76" s="53"/>
      <c r="CD76" s="52"/>
      <c r="CE76" s="54"/>
      <c r="CF76" s="128"/>
      <c r="CG76" s="114"/>
      <c r="CH76" s="55"/>
      <c r="CI76" s="56"/>
      <c r="CJ76" s="57" t="s">
        <v>78</v>
      </c>
      <c r="CK76" s="58"/>
      <c r="CL76" s="59">
        <f>IFERROR(IF(FIND(CL$1,$W76)&gt;0,IF(INDEX([1]!Product_Pricing_Table[#Data],MATCH(CL$1,Products,0),2)="Cores",IF(HostBuild[Use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6" s="59">
        <f>IFERROR(IF(FIND(CM$1,$W76)&gt;0,IF(INDEX([1]!Product_Pricing_Table[#Data],MATCH(CM$1,Products,0),2)="Cores",IF(HostBuild[Use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6" s="59">
        <f>IFERROR(IF(FIND(CN$1,$W76)&gt;0,IF(INDEX([1]!Product_Pricing_Table[#Data],MATCH(CN$1,Products,0),2)="Cores",IF(HostBuild[Use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6" s="59">
        <f>IFERROR(IF(FIND(CO$1,$W76)&gt;0,IF(INDEX([1]!Product_Pricing_Table[#Data],MATCH(CO$1,Products,0),2)="Cores",IF(HostBuild[Use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6" s="59">
        <f>IFERROR(IF(FIND(CP$1,$W76)&gt;0,IF(INDEX([1]!Product_Pricing_Table[#Data],MATCH(CP$1,Products,0),2)="Cores",IF(HostBuild[Use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6" s="59">
        <f>IFERROR(IF(FIND(CQ$1,$W76)&gt;0,IF(INDEX([1]!Product_Pricing_Table[#Data],MATCH(CQ$1,Products,0),2)="Cores",IF(HostBuild[Use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6" s="59">
        <f>IFERROR(IF(FIND(CR$1,$W76)&gt;0,IF(INDEX([1]!Product_Pricing_Table[#Data],MATCH(CR$1,Products,0),2)="Cores",IF(HostBuild[Use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6" s="59">
        <f>IFERROR(IF(FIND(CS$1,$W76)&gt;0,IF(INDEX([1]!Product_Pricing_Table[#Data],MATCH(CS$1,Products,0),2)="Cores",IF(HostBuild[Use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6" s="59">
        <f>IFERROR(IF(FIND(CT$1,$W76)&gt;0,IF(INDEX([1]!Product_Pricing_Table[#Data],MATCH(CT$1,Products,0),2)="Cores",IF(HostBuild[Use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6" s="59">
        <f>IFERROR(IF(FIND(CU$1,$W76)&gt;0,IF(INDEX([1]!Product_Pricing_Table[#Data],MATCH(CU$1,Products,0),2)="Cores",IF(HostBuild[Use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6" s="59">
        <f>IFERROR(IF(FIND(CV$1,$W76)&gt;0,IF(INDEX([1]!Product_Pricing_Table[#Data],MATCH(CV$1,Products,0),2)="Cores",IF(HostBuild[Use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6" s="59">
        <f>IFERROR(IF(FIND(CW$1,$W76)&gt;0,IF(INDEX([1]!Product_Pricing_Table[#Data],MATCH(CW$1,Products,0),2)="Cores",IF(HostBuild[Use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6" s="59">
        <f>IFERROR(IF(FIND(CX$1,$W76)&gt;0,IF(INDEX([1]!Product_Pricing_Table[#Data],MATCH(CX$1,Products,0),2)="Cores",IF(HostBuild[Use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6" s="59">
        <f>IFERROR(IF(FIND(CY$1,$W76)&gt;0,IF(INDEX([1]!Product_Pricing_Table[#Data],MATCH(CY$1,Products,0),2)="Cores",IF(HostBuild[Use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6" s="59">
        <f>IFERROR(IF(FIND(CZ$1,$W76)&gt;0,IF(INDEX([1]!Product_Pricing_Table[#Data],MATCH(CZ$1,Products,0),2)="Cores",IF(HostBuild[Use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6" s="59">
        <f>IFERROR(IF(FIND(DA$1,$W76)&gt;0,IF(INDEX([1]!Product_Pricing_Table[#Data],MATCH(DA$1,Products,0),2)="Cores",IF(HostBuild[Use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6" s="59">
        <f>IFERROR(IF(FIND(DB$1,$W76)&gt;0,IF(INDEX([1]!Product_Pricing_Table[#Data],MATCH(DB$1,Products,0),2)="Cores",IF(HostBuild[Use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6" s="59">
        <f>IFERROR(IF(FIND(DC$1,$W76)&gt;0,IF(INDEX([1]!Product_Pricing_Table[#Data],MATCH(DC$1,Products,0),2)="Cores",IF(HostBuild[Use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6" s="59">
        <f>IFERROR(IF(FIND(DD$1,$W76)&gt;0,IF(INDEX([1]!Product_Pricing_Table[#Data],MATCH(DD$1,Products,0),2)="Cores",IF(HostBuild[Use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6" s="59">
        <f>IFERROR(IF(FIND(DE$1,$W76)&gt;0,IF(INDEX([1]!Product_Pricing_Table[#Data],MATCH(DE$1,Products,0),2)="Cores",IF(HostBuild[Use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6" s="60">
        <f>IFERROR(IF(FIND(DF$1,$W76)&gt;0,IF(INDEX([1]!Product_Pricing_Table[#Data],MATCH(DF$1,Products,0),2)="Cores",IF(HostBuild[Use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6" s="60">
        <f>IFERROR(IF(FIND(DG$1,$W76)&gt;0,IF(INDEX([1]!Product_Pricing_Table[#Data],MATCH(DG$1,Products,0),2)="Cores",IF(HostBuild[Use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6" s="59">
        <f>IFERROR(IF(FIND(DH$1,$W76)&gt;0,IF(INDEX([1]!Product_Pricing_Table[#Data],MATCH(DH$1,Products,0),2)="Cores",IF(HostBuild[Use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6" s="60">
        <f>IFERROR(IF(FIND(DI$1,$W76)&gt;0,IF(INDEX([1]!Product_Pricing_Table[#Data],MATCH(DI$1,Products,0),2)="Cores",IF(HostBuild[Use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6" s="59">
        <f>IFERROR(IF(FIND(DJ$1,$W76)&gt;0,IF(INDEX([1]!Product_Pricing_Table[#Data],MATCH(DJ$1,Products,0),2)="Cores",IF(HostBuild[Use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6" s="59">
        <f>IFERROR(IF(FIND(DK$1,$W76)&gt;0,IF(INDEX([1]!Product_Pricing_Table[#Data],MATCH(DK$1,Products,0),2)="Cores",IF(HostBuild[Use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6" s="59">
        <f>IFERROR(IF(FIND(DL$1,$W76)&gt;0,IF(INDEX([1]!Product_Pricing_Table[#Data],MATCH(DL$1,Products,0),2)="Cores",IF(HostBuild[Use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6" s="59">
        <f>IFERROR(IF(FIND(DM$1,$W76)&gt;0,IF(INDEX([1]!Product_Pricing_Table[#Data],MATCH(DM$1,Products,0),2)="Cores",IF(HostBuild[Use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6" s="59">
        <f>IFERROR(IF(FIND(DN$1,$W76)&gt;0,IF(INDEX([1]!Product_Pricing_Table[#Data],MATCH(DN$1,Products,0),2)="Cores",IF(HostBuild[Use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6" s="59">
        <f>IFERROR(IF(FIND(DO$1,$W76)&gt;0,IF(INDEX([1]!Product_Pricing_Table[#Data],MATCH(DO$1,Products,0),2)="Cores",IF(HostBuild[Use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6" s="59">
        <f>IFERROR(IF(FIND(DP$1,$W76)&gt;0,IF(INDEX([1]!Product_Pricing_Table[#Data],MATCH(DP$1,Products,0),2)="Cores",IF(HostBuild[Use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6" s="59">
        <f>IFERROR(IF(FIND(DQ$1,$W76)&gt;0,IF(INDEX([1]!Product_Pricing_Table[#Data],MATCH(DQ$1,Products,0),2)="Cores",IF(HostBuild[Use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6" s="59">
        <f>IFERROR(IF(FIND(DR$1,$W76)&gt;0,IF(INDEX([1]!Product_Pricing_Table[#Data],MATCH(DR$1,Products,0),2)="Cores",IF(HostBuild[Use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6" s="59">
        <f>IFERROR(IF(FIND(DS$1,$W76)&gt;0,IF(INDEX([1]!Product_Pricing_Table[#Data],MATCH(DS$1,Products,0),2)="Cores",IF(HostBuild[Use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6" s="59">
        <f>IFERROR(IF(FIND(DT$1,$W76)&gt;0,IF(INDEX([1]!Product_Pricing_Table[#Data],MATCH(DT$1,Products,0),2)="Cores",IF(HostBuild[Use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6" s="59">
        <f>IFERROR(IF(FIND(DU$1,$W76)&gt;0,IF(INDEX([1]!Product_Pricing_Table[#Data],MATCH(DU$1,Products,0),2)="Cores",IF(HostBuild[Use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6" s="59">
        <f>IFERROR(IF(FIND(DV$1,$W76)&gt;0,IF(INDEX([1]!Product_Pricing_Table[#Data],MATCH(DV$1,Products,0),2)="Cores",IF(HostBuild[Use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6" s="59">
        <f>IFERROR(IF(FIND(DW$1,$W76)&gt;0,IF(INDEX([1]!Product_Pricing_Table[#Data],MATCH(DW$1,Products,0),2)="Cores",IF(HostBuild[Use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6" s="59">
        <f>IFERROR(IF(FIND(DX$1,$W76)&gt;0,IF(INDEX([1]!Product_Pricing_Table[#Data],MATCH(DX$1,Products,0),2)="Cores",IF(HostBuild[Use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6" s="59">
        <f>IFERROR(IF(FIND(DY$1,$W76)&gt;0,IF(INDEX([1]!Product_Pricing_Table[#Data],MATCH(DY$1,Products,0),2)="Cores",IF(HostBuild[Use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6" s="59">
        <f>IFERROR(IF(FIND(DZ$1,$W76)&gt;0,IF(INDEX([1]!Product_Pricing_Table[#Data],MATCH(DZ$1,Products,0),2)="Cores",IF(HostBuild[Use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6" s="59">
        <f>IFERROR(IF(FIND(EA$1,$W76)&gt;0,IF(INDEX([1]!Product_Pricing_Table[#Data],MATCH(EA$1,Products,0),2)="Cores",IF(HostBuild[Use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6" s="59">
        <f>IFERROR(IF(FIND(EB$1,$W76)&gt;0,IF(INDEX([1]!Product_Pricing_Table[#Data],MATCH(EB$1,Products,0),2)="Cores",IF(HostBuild[Use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6" s="60">
        <f>IFERROR(IF(FIND(EC$1,$W76)&gt;0,IF(INDEX([1]!Product_Pricing_Table[#Data],MATCH(EC$1,Products,0),2)="Cores",IF(HostBuild[Use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6" s="59">
        <f>IFERROR(IF(FIND(ED$1,$W76)&gt;0,IF(INDEX([1]!Product_Pricing_Table[#Data],MATCH(ED$1,Products,0),2)="Cores",IF(HostBuild[Use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6" s="59">
        <f>IFERROR(IF(FIND(EE$1,$W76)&gt;0,IF(INDEX([1]!Product_Pricing_Table[#Data],MATCH(EE$1,Products,0),2)="Cores",IF(HostBuild[Use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6" s="59">
        <f>IFERROR(IF(FIND(EF$1,$W76)&gt;0,IF(INDEX([1]!Product_Pricing_Table[#Data],MATCH(EF$1,Products,0),2)="Cores",IF(HostBuild[Use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6" s="59">
        <f>IFERROR(IF(FIND(EG$1,$W76)&gt;0,IF(INDEX([1]!Product_Pricing_Table[#Data],MATCH(EG$1,Products,0),2)="Cores",IF(HostBuild[Use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6" s="59">
        <f>IFERROR(IF(FIND(EH$1,$W76)&gt;0,IF(INDEX([1]!Product_Pricing_Table[#Data],MATCH(EH$1,Products,0),2)="Cores",IF(HostBuild[Use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6" s="59">
        <f>IFERROR(IF(FIND(EI$1,$W76)&gt;0,IF(INDEX([1]!Product_Pricing_Table[#Data],MATCH(EI$1,Products,0),2)="Cores",IF(HostBuild[Use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6" s="59">
        <f>IFERROR(IF(FIND(EJ$1,$W76)&gt;0,IF(INDEX([1]!Product_Pricing_Table[#Data],MATCH(EJ$1,Products,0),2)="Cores",IF(HostBuild[Use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6" s="60">
        <f>IFERROR(IF(FIND(EK$1,$W76)&gt;0,IF(INDEX([1]!Product_Pricing_Table[#Data],MATCH(EK$1,Products,0),2)="Cores",IF(HostBuild[Use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6" s="61"/>
      <c r="EM76" s="62">
        <v>3000</v>
      </c>
      <c r="EN76" s="63">
        <v>420</v>
      </c>
      <c r="EO76"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7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271.28500000000003</v>
      </c>
      <c r="EQ76" s="132">
        <f>(HostBuild[Archive
Full (GB)]+HostBuild[Archive
Incr (GB)])*Storage_DC_Dist_Tape_2014</f>
        <v>42.594562500000002</v>
      </c>
      <c r="ER76" s="132">
        <f>IF(ISNUMBER(HostBuild[Server HW Costs
(Monthly)]),SUM(HostBuild[[#This Row],[Server HW Costs
(Monthly)]:[Tape Costs
(Monthly)]]),0)</f>
        <v>313.87956250000002</v>
      </c>
      <c r="ES76" s="65">
        <f>HostBuild[Software Costs
'[Year 1']
(Monthly)]+HostBuild[Total Hardware Costs
(Monthly)]</f>
        <v>3313.8795625000002</v>
      </c>
      <c r="ET76" s="65">
        <f>IFERROR(IF(FIND("Safenet",HostBuild[Server Model]),Safenet_PSE_PL600_Maint,0),0)+IFERROR(IF(FIND("XI52",HostBuild[Server Model]),IBM_DIA_XI52_Maint,0),0)+HostBuild[Software Costs
'[After Year 1']
(Monthly)]+HostBuild[Total Hardware Costs
(Monthly)]</f>
        <v>733.87956250000002</v>
      </c>
      <c r="EU76" s="66">
        <f>SUM(HostBuild[[#This Row],[Server Cost Breakdown]:[Network Cost]])</f>
        <v>0</v>
      </c>
      <c r="EV76" s="67">
        <f>IF(HostBuild[Existing Server?]="Yes - Inside this BoM",0,SUMIF(HostBuild[Alias],HostBuild[Alias],HostBuild[CPU])+SUMIF(HostBuild[Alias],HostBuild[Alias],HostBuild[Existing CPUs]))</f>
        <v>0</v>
      </c>
      <c r="EW76" s="67">
        <f>IF(HostBuild[Existing Server?]="Yes - Inside this BoM",0,SUMIF(HostBuild[Alias],HostBuild[Alias],HostBuild[Cores 
(Licensed Units)])+SUMIF(HostBuild[Alias],HostBuild[Alias],HostBuild[Existing Cores]))</f>
        <v>0</v>
      </c>
      <c r="EX76" s="67">
        <f>IF(HostBuild[Existing Server?]="Yes - Inside this BoM",0,SUMIF(HostBuild[Alias],HostBuild[Alias],HostBuild[RAM 
(GB)])+SUMIF(HostBuild[Alias],HostBuild[Alias],HostBuild[Existing RAM (GB)]))</f>
        <v>0</v>
      </c>
      <c r="EY7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6" s="66">
        <f>IF(ISBLANK(HostBuild[Server Model]),0,IF(HostBuild[Server Tier]="VMware",0,VLOOKUP(HostBuild[Server Tier],[1]!ServerTierRates[#Data],2,0))*HostBuild[CPU]*IF(AND(HostBuild[Server Type]="pSeries",HostBuild[Virtual Platform Storage Type]="Cloud-SAN"),0.25,1))</f>
        <v>0</v>
      </c>
      <c r="FD76" s="66">
        <f>0</f>
        <v>0</v>
      </c>
      <c r="FE76" s="66">
        <f>IF(HostBuild[Server Type]="VMware",HostBuild[RAM 
(GB)]*IF(ISERROR(FIND("DevCloud", HostBuild[Server Model])&gt;0),vRAM_per_vCPU_2014_Monthly,vRAM_per_vCPU_2014_Daily*30),0)</f>
        <v>0</v>
      </c>
      <c r="FF7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6" s="69">
        <f>IF(HostBuild[Server Tier]="VMware",0,IF(LEFT(HostBuild[Existing Server?],3)="Yes",0,IF(OR(HostBuild[Server Type]="Sun",HostBuild[Server Type]="pSeries"),Support_Direct_Server_Sun_per_OS_2014,IF(HostBuild[Server Type]="x86",Support_Direct_Server_x86_Wintel_per_OS_2014,0))))</f>
        <v>0</v>
      </c>
      <c r="FI7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7" spans="1:165" hidden="1">
      <c r="A77" s="122" t="s">
        <v>53</v>
      </c>
      <c r="B77" s="36"/>
      <c r="C77" s="36"/>
      <c r="D77" s="36"/>
      <c r="E77" s="37"/>
      <c r="F77" s="37"/>
      <c r="G77" s="103"/>
      <c r="H77" s="103"/>
      <c r="I77" s="38"/>
      <c r="J77" s="37"/>
      <c r="K77" s="37"/>
      <c r="L77" s="37"/>
      <c r="M77" s="103" t="e">
        <f ca="1">IF(rngIsDate(HostBuild[CTO Acceptance]),"Y","N")</f>
        <v>#NAME?</v>
      </c>
      <c r="N77" s="123" t="s">
        <v>3</v>
      </c>
      <c r="O77" s="39"/>
      <c r="P77" s="39"/>
      <c r="Q77" s="123" t="s">
        <v>1</v>
      </c>
      <c r="R77" s="126" t="str">
        <f>IF(NOT(ISBLANK(HostBuild[Env Label])),IFERROR(VLOOKUP(HostBuild[Env Label],[1]!tEnv[#Data],3,FALSE),""),"")</f>
        <v/>
      </c>
      <c r="S77" s="104"/>
      <c r="T77" s="40"/>
      <c r="U77" s="105"/>
      <c r="V77" s="123" t="s">
        <v>75</v>
      </c>
      <c r="W77" s="123" t="s">
        <v>70</v>
      </c>
      <c r="X77" s="123" t="s">
        <v>57</v>
      </c>
      <c r="Y77" s="123" t="s">
        <v>58</v>
      </c>
      <c r="Z77" s="126" t="str">
        <f>IF(NOT(ISBLANK(HostBuild[[#This Row],[Product 
(Acronym)]])),CONCATENATE(HostBuild[[#This Row],[Type]],"-",HostBuild[[#This Row],[Product 
(Acronym)]]),"")</f>
        <v>AP-ESB</v>
      </c>
      <c r="AA77" s="106"/>
      <c r="AB77" s="106" t="s">
        <v>171</v>
      </c>
      <c r="AC77" s="41"/>
      <c r="AD77" s="42"/>
      <c r="AE77" s="42"/>
      <c r="AF77" s="43"/>
      <c r="AG77" s="124"/>
      <c r="AH77" s="107"/>
      <c r="AI77" s="124" t="s">
        <v>160</v>
      </c>
      <c r="AJ77" s="123">
        <f>IF(COUNTIF(HostBuild[Alias],HostBuild[Alias]),1/COUNTIF(HostBuild[Alias],HostBuild[Alias]),0)</f>
        <v>1</v>
      </c>
      <c r="AK77" s="124"/>
      <c r="AL77" s="124"/>
      <c r="AM77" s="44" t="s">
        <v>62</v>
      </c>
      <c r="AN77" s="45" t="str">
        <f>IF(NOT(ISBLANK(HostBuild[Server Model])),VLOOKUP(HostBuild[Server Model],[1]!ServerModelsTier[#Data],2,FALSE),"")</f>
        <v>x86 Tier 3</v>
      </c>
      <c r="AO77" s="45" t="str">
        <f>IF(NOT(ISBLANK(HostBuild[Server Model])),VLOOKUP(HostBuild[Server Model],[1]!ServerModelsTier[#Data],5,FALSE),"")</f>
        <v>x86</v>
      </c>
      <c r="AP77" s="44"/>
      <c r="AQ77" s="44" t="s">
        <v>63</v>
      </c>
      <c r="AR77" s="46"/>
      <c r="AS77" s="108"/>
      <c r="AT77" s="47">
        <v>16</v>
      </c>
      <c r="AU77" s="109" t="str">
        <f>IF(IFERROR(FIND("P-Series",HostBuild[Server Tier]),0),CEILING((HostBuild[Existing CPUs]+HostBuild[CPU])*16,8),"")</f>
        <v/>
      </c>
      <c r="AV77" s="48"/>
      <c r="AW77" s="124"/>
      <c r="AX77" s="124"/>
      <c r="AY77" s="124"/>
      <c r="AZ77" s="49"/>
      <c r="BA77" s="124"/>
      <c r="BB77" s="124"/>
      <c r="BC77" s="42"/>
      <c r="BD77" s="124"/>
      <c r="BE77" s="124"/>
      <c r="BF77" s="124"/>
      <c r="BG77" s="124"/>
      <c r="BH77" s="124"/>
      <c r="BI77" s="124"/>
      <c r="BJ77" s="124"/>
      <c r="BK77"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77" s="127">
        <v>150</v>
      </c>
      <c r="BM77" s="129">
        <f>IF(ISNUMBER(HostBuild[Recommended SAN (GB)]),HostBuild[Recommended SAN (GB)])+IF(HostBuild[Additional SAN (GB)]&gt;0,CEILING(HostBuild[Additional SAN (GB)],LUN),-(CEILING(-HostBuild[Additional SAN (GB)],LUN)))</f>
        <v>168.5</v>
      </c>
      <c r="BN77" s="128"/>
      <c r="BO77" s="129">
        <f>HostBuild[SAN (GB)
NEEDED TODAY]+CEILING(HostBuild[SAN (GB)
RESERVED
DO NOT USE TO BUILD], LUN)</f>
        <v>168.5</v>
      </c>
      <c r="BP77" s="130"/>
      <c r="BQ77" s="131"/>
      <c r="BR77" s="125" t="s">
        <v>76</v>
      </c>
      <c r="BS77" s="110">
        <f>IF(HostBuild[Existing Server?]&lt;&gt;"Yes - Inside this BoM",IF(ISNUMBER(HostBuild[RAM 
(GB)]),IF(HostBuild[Existing RAM (GB)]+HostBuild[RAM 
(GB)]&gt;0,IF(HostBuild[Virtual Platform Storage Type]="NAS",110+HostBuild[Existing RAM (GB)]+HostBuild[RAM 
(GB)]*1.75,0),0),0),0)</f>
        <v>0</v>
      </c>
      <c r="BT77" s="111"/>
      <c r="BU77" s="112">
        <f>IF(ISNUMBER(HostBuild[Recommended NAS (GB)]),HostBuild[Recommended NAS (GB)])+HostBuild[Additional NAS (GB)]</f>
        <v>0</v>
      </c>
      <c r="BV77" s="50"/>
      <c r="BW77" s="50"/>
      <c r="BX77" s="133">
        <f>IFERROR((HostBuild[SAN (GB)
End-State
DO NOT USE TO BUILD]+HostBuild[SAN (GB) Shared])*25%,"")</f>
        <v>42.125</v>
      </c>
      <c r="BY77" s="113">
        <f>IFERROR(HostBuild[Archive
Full (GB)]*15%,"")</f>
        <v>6.3187499999999996</v>
      </c>
      <c r="BZ77" s="51"/>
      <c r="CA77" s="51"/>
      <c r="CB77" s="52"/>
      <c r="CC77" s="53"/>
      <c r="CD77" s="52"/>
      <c r="CE77" s="54"/>
      <c r="CF77" s="128"/>
      <c r="CG77" s="114"/>
      <c r="CH77" s="55"/>
      <c r="CI77" s="56"/>
      <c r="CJ77" s="57" t="s">
        <v>78</v>
      </c>
      <c r="CK77" s="58"/>
      <c r="CL77" s="59">
        <f>IFERROR(IF(FIND(CL$1,$W77)&gt;0,IF(INDEX([1]!Product_Pricing_Table[#Data],MATCH(CL$1,Products,0),2)="Cores",IF(HostBuild[Use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7" s="59">
        <f>IFERROR(IF(FIND(CM$1,$W77)&gt;0,IF(INDEX([1]!Product_Pricing_Table[#Data],MATCH(CM$1,Products,0),2)="Cores",IF(HostBuild[Use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7" s="59">
        <f>IFERROR(IF(FIND(CN$1,$W77)&gt;0,IF(INDEX([1]!Product_Pricing_Table[#Data],MATCH(CN$1,Products,0),2)="Cores",IF(HostBuild[Use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7" s="59">
        <f>IFERROR(IF(FIND(CO$1,$W77)&gt;0,IF(INDEX([1]!Product_Pricing_Table[#Data],MATCH(CO$1,Products,0),2)="Cores",IF(HostBuild[Use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7" s="59">
        <f>IFERROR(IF(FIND(CP$1,$W77)&gt;0,IF(INDEX([1]!Product_Pricing_Table[#Data],MATCH(CP$1,Products,0),2)="Cores",IF(HostBuild[Use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7" s="59">
        <f>IFERROR(IF(FIND(CQ$1,$W77)&gt;0,IF(INDEX([1]!Product_Pricing_Table[#Data],MATCH(CQ$1,Products,0),2)="Cores",IF(HostBuild[Use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7" s="59">
        <f>IFERROR(IF(FIND(CR$1,$W77)&gt;0,IF(INDEX([1]!Product_Pricing_Table[#Data],MATCH(CR$1,Products,0),2)="Cores",IF(HostBuild[Use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7" s="59">
        <f>IFERROR(IF(FIND(CS$1,$W77)&gt;0,IF(INDEX([1]!Product_Pricing_Table[#Data],MATCH(CS$1,Products,0),2)="Cores",IF(HostBuild[Use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7" s="59">
        <f>IFERROR(IF(FIND(CT$1,$W77)&gt;0,IF(INDEX([1]!Product_Pricing_Table[#Data],MATCH(CT$1,Products,0),2)="Cores",IF(HostBuild[Use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7" s="59">
        <f>IFERROR(IF(FIND(CU$1,$W77)&gt;0,IF(INDEX([1]!Product_Pricing_Table[#Data],MATCH(CU$1,Products,0),2)="Cores",IF(HostBuild[Use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7" s="59">
        <f>IFERROR(IF(FIND(CV$1,$W77)&gt;0,IF(INDEX([1]!Product_Pricing_Table[#Data],MATCH(CV$1,Products,0),2)="Cores",IF(HostBuild[Use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7" s="59">
        <f>IFERROR(IF(FIND(CW$1,$W77)&gt;0,IF(INDEX([1]!Product_Pricing_Table[#Data],MATCH(CW$1,Products,0),2)="Cores",IF(HostBuild[Use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7" s="59">
        <f>IFERROR(IF(FIND(CX$1,$W77)&gt;0,IF(INDEX([1]!Product_Pricing_Table[#Data],MATCH(CX$1,Products,0),2)="Cores",IF(HostBuild[Use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7" s="59">
        <f>IFERROR(IF(FIND(CY$1,$W77)&gt;0,IF(INDEX([1]!Product_Pricing_Table[#Data],MATCH(CY$1,Products,0),2)="Cores",IF(HostBuild[Use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7" s="59">
        <f>IFERROR(IF(FIND(CZ$1,$W77)&gt;0,IF(INDEX([1]!Product_Pricing_Table[#Data],MATCH(CZ$1,Products,0),2)="Cores",IF(HostBuild[Use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7" s="59">
        <f>IFERROR(IF(FIND(DA$1,$W77)&gt;0,IF(INDEX([1]!Product_Pricing_Table[#Data],MATCH(DA$1,Products,0),2)="Cores",IF(HostBuild[Use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7" s="59">
        <f>IFERROR(IF(FIND(DB$1,$W77)&gt;0,IF(INDEX([1]!Product_Pricing_Table[#Data],MATCH(DB$1,Products,0),2)="Cores",IF(HostBuild[Use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7" s="59">
        <f>IFERROR(IF(FIND(DC$1,$W77)&gt;0,IF(INDEX([1]!Product_Pricing_Table[#Data],MATCH(DC$1,Products,0),2)="Cores",IF(HostBuild[Use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7" s="59">
        <f>IFERROR(IF(FIND(DD$1,$W77)&gt;0,IF(INDEX([1]!Product_Pricing_Table[#Data],MATCH(DD$1,Products,0),2)="Cores",IF(HostBuild[Use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7" s="59">
        <f>IFERROR(IF(FIND(DE$1,$W77)&gt;0,IF(INDEX([1]!Product_Pricing_Table[#Data],MATCH(DE$1,Products,0),2)="Cores",IF(HostBuild[Use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7" s="60">
        <f>IFERROR(IF(FIND(DF$1,$W77)&gt;0,IF(INDEX([1]!Product_Pricing_Table[#Data],MATCH(DF$1,Products,0),2)="Cores",IF(HostBuild[Use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7" s="60">
        <f>IFERROR(IF(FIND(DG$1,$W77)&gt;0,IF(INDEX([1]!Product_Pricing_Table[#Data],MATCH(DG$1,Products,0),2)="Cores",IF(HostBuild[Use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7" s="59">
        <f>IFERROR(IF(FIND(DH$1,$W77)&gt;0,IF(INDEX([1]!Product_Pricing_Table[#Data],MATCH(DH$1,Products,0),2)="Cores",IF(HostBuild[Use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7" s="60">
        <f>IFERROR(IF(FIND(DI$1,$W77)&gt;0,IF(INDEX([1]!Product_Pricing_Table[#Data],MATCH(DI$1,Products,0),2)="Cores",IF(HostBuild[Use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7" s="59">
        <f>IFERROR(IF(FIND(DJ$1,$W77)&gt;0,IF(INDEX([1]!Product_Pricing_Table[#Data],MATCH(DJ$1,Products,0),2)="Cores",IF(HostBuild[Use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7" s="59">
        <f>IFERROR(IF(FIND(DK$1,$W77)&gt;0,IF(INDEX([1]!Product_Pricing_Table[#Data],MATCH(DK$1,Products,0),2)="Cores",IF(HostBuild[Use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7" s="59">
        <f>IFERROR(IF(FIND(DL$1,$W77)&gt;0,IF(INDEX([1]!Product_Pricing_Table[#Data],MATCH(DL$1,Products,0),2)="Cores",IF(HostBuild[Use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7" s="59">
        <f>IFERROR(IF(FIND(DM$1,$W77)&gt;0,IF(INDEX([1]!Product_Pricing_Table[#Data],MATCH(DM$1,Products,0),2)="Cores",IF(HostBuild[Use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7" s="59">
        <f>IFERROR(IF(FIND(DN$1,$W77)&gt;0,IF(INDEX([1]!Product_Pricing_Table[#Data],MATCH(DN$1,Products,0),2)="Cores",IF(HostBuild[Use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7" s="59">
        <f>IFERROR(IF(FIND(DO$1,$W77)&gt;0,IF(INDEX([1]!Product_Pricing_Table[#Data],MATCH(DO$1,Products,0),2)="Cores",IF(HostBuild[Use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7" s="59">
        <f>IFERROR(IF(FIND(DP$1,$W77)&gt;0,IF(INDEX([1]!Product_Pricing_Table[#Data],MATCH(DP$1,Products,0),2)="Cores",IF(HostBuild[Use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7" s="59">
        <f>IFERROR(IF(FIND(DQ$1,$W77)&gt;0,IF(INDEX([1]!Product_Pricing_Table[#Data],MATCH(DQ$1,Products,0),2)="Cores",IF(HostBuild[Use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7" s="59">
        <f>IFERROR(IF(FIND(DR$1,$W77)&gt;0,IF(INDEX([1]!Product_Pricing_Table[#Data],MATCH(DR$1,Products,0),2)="Cores",IF(HostBuild[Use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7" s="59">
        <f>IFERROR(IF(FIND(DS$1,$W77)&gt;0,IF(INDEX([1]!Product_Pricing_Table[#Data],MATCH(DS$1,Products,0),2)="Cores",IF(HostBuild[Use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7" s="59">
        <f>IFERROR(IF(FIND(DT$1,$W77)&gt;0,IF(INDEX([1]!Product_Pricing_Table[#Data],MATCH(DT$1,Products,0),2)="Cores",IF(HostBuild[Use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7" s="59">
        <f>IFERROR(IF(FIND(DU$1,$W77)&gt;0,IF(INDEX([1]!Product_Pricing_Table[#Data],MATCH(DU$1,Products,0),2)="Cores",IF(HostBuild[Use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7" s="59">
        <f>IFERROR(IF(FIND(DV$1,$W77)&gt;0,IF(INDEX([1]!Product_Pricing_Table[#Data],MATCH(DV$1,Products,0),2)="Cores",IF(HostBuild[Use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7" s="59">
        <f>IFERROR(IF(FIND(DW$1,$W77)&gt;0,IF(INDEX([1]!Product_Pricing_Table[#Data],MATCH(DW$1,Products,0),2)="Cores",IF(HostBuild[Use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7" s="59">
        <f>IFERROR(IF(FIND(DX$1,$W77)&gt;0,IF(INDEX([1]!Product_Pricing_Table[#Data],MATCH(DX$1,Products,0),2)="Cores",IF(HostBuild[Use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7" s="59">
        <f>IFERROR(IF(FIND(DY$1,$W77)&gt;0,IF(INDEX([1]!Product_Pricing_Table[#Data],MATCH(DY$1,Products,0),2)="Cores",IF(HostBuild[Use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7" s="59">
        <f>IFERROR(IF(FIND(DZ$1,$W77)&gt;0,IF(INDEX([1]!Product_Pricing_Table[#Data],MATCH(DZ$1,Products,0),2)="Cores",IF(HostBuild[Use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7" s="59">
        <f>IFERROR(IF(FIND(EA$1,$W77)&gt;0,IF(INDEX([1]!Product_Pricing_Table[#Data],MATCH(EA$1,Products,0),2)="Cores",IF(HostBuild[Use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7" s="59">
        <f>IFERROR(IF(FIND(EB$1,$W77)&gt;0,IF(INDEX([1]!Product_Pricing_Table[#Data],MATCH(EB$1,Products,0),2)="Cores",IF(HostBuild[Use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7" s="60">
        <f>IFERROR(IF(FIND(EC$1,$W77)&gt;0,IF(INDEX([1]!Product_Pricing_Table[#Data],MATCH(EC$1,Products,0),2)="Cores",IF(HostBuild[Use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7" s="59">
        <f>IFERROR(IF(FIND(ED$1,$W77)&gt;0,IF(INDEX([1]!Product_Pricing_Table[#Data],MATCH(ED$1,Products,0),2)="Cores",IF(HostBuild[Use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7" s="59">
        <f>IFERROR(IF(FIND(EE$1,$W77)&gt;0,IF(INDEX([1]!Product_Pricing_Table[#Data],MATCH(EE$1,Products,0),2)="Cores",IF(HostBuild[Use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7" s="59">
        <f>IFERROR(IF(FIND(EF$1,$W77)&gt;0,IF(INDEX([1]!Product_Pricing_Table[#Data],MATCH(EF$1,Products,0),2)="Cores",IF(HostBuild[Use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7" s="59">
        <f>IFERROR(IF(FIND(EG$1,$W77)&gt;0,IF(INDEX([1]!Product_Pricing_Table[#Data],MATCH(EG$1,Products,0),2)="Cores",IF(HostBuild[Use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7" s="59">
        <f>IFERROR(IF(FIND(EH$1,$W77)&gt;0,IF(INDEX([1]!Product_Pricing_Table[#Data],MATCH(EH$1,Products,0),2)="Cores",IF(HostBuild[Use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7" s="59">
        <f>IFERROR(IF(FIND(EI$1,$W77)&gt;0,IF(INDEX([1]!Product_Pricing_Table[#Data],MATCH(EI$1,Products,0),2)="Cores",IF(HostBuild[Use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7" s="59">
        <f>IFERROR(IF(FIND(EJ$1,$W77)&gt;0,IF(INDEX([1]!Product_Pricing_Table[#Data],MATCH(EJ$1,Products,0),2)="Cores",IF(HostBuild[Use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7" s="60">
        <f>IFERROR(IF(FIND(EK$1,$W77)&gt;0,IF(INDEX([1]!Product_Pricing_Table[#Data],MATCH(EK$1,Products,0),2)="Cores",IF(HostBuild[Use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7" s="61"/>
      <c r="EM77" s="62"/>
      <c r="EN77" s="63"/>
      <c r="EO77"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7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77" s="132">
        <f>(HostBuild[Archive
Full (GB)]+HostBuild[Archive
Incr (GB)])*Storage_DC_Dist_Tape_2014</f>
        <v>16.955312499999998</v>
      </c>
      <c r="ER77" s="132">
        <f>IF(ISNUMBER(HostBuild[Server HW Costs
(Monthly)]),SUM(HostBuild[[#This Row],[Server HW Costs
(Monthly)]:[Tape Costs
(Monthly)]]),0)</f>
        <v>92.780312500000008</v>
      </c>
      <c r="ES77" s="65">
        <f>HostBuild[Software Costs
'[Year 1']
(Monthly)]+HostBuild[Total Hardware Costs
(Monthly)]</f>
        <v>92.780312500000008</v>
      </c>
      <c r="ET77" s="65">
        <f>IFERROR(IF(FIND("Safenet",HostBuild[Server Model]),Safenet_PSE_PL600_Maint,0),0)+IFERROR(IF(FIND("XI52",HostBuild[Server Model]),IBM_DIA_XI52_Maint,0),0)+HostBuild[Software Costs
'[After Year 1']
(Monthly)]+HostBuild[Total Hardware Costs
(Monthly)]</f>
        <v>92.780312500000008</v>
      </c>
      <c r="EU77" s="66">
        <f>SUM(HostBuild[[#This Row],[Server Cost Breakdown]:[Network Cost]])</f>
        <v>0</v>
      </c>
      <c r="EV77" s="67">
        <f>IF(HostBuild[Existing Server?]="Yes - Inside this BoM",0,SUMIF(HostBuild[Alias],HostBuild[Alias],HostBuild[CPU])+SUMIF(HostBuild[Alias],HostBuild[Alias],HostBuild[Existing CPUs]))</f>
        <v>0</v>
      </c>
      <c r="EW77" s="67">
        <f>IF(HostBuild[Existing Server?]="Yes - Inside this BoM",0,SUMIF(HostBuild[Alias],HostBuild[Alias],HostBuild[Cores 
(Licensed Units)])+SUMIF(HostBuild[Alias],HostBuild[Alias],HostBuild[Existing Cores]))</f>
        <v>0</v>
      </c>
      <c r="EX77" s="67">
        <f>IF(HostBuild[Existing Server?]="Yes - Inside this BoM",0,SUMIF(HostBuild[Alias],HostBuild[Alias],HostBuild[RAM 
(GB)])+SUMIF(HostBuild[Alias],HostBuild[Alias],HostBuild[Existing RAM (GB)]))</f>
        <v>0</v>
      </c>
      <c r="EY7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7" s="66">
        <f>IF(ISBLANK(HostBuild[Server Model]),0,IF(HostBuild[Server Tier]="VMware",0,VLOOKUP(HostBuild[Server Tier],[1]!ServerTierRates[#Data],2,0))*HostBuild[CPU]*IF(AND(HostBuild[Server Type]="pSeries",HostBuild[Virtual Platform Storage Type]="Cloud-SAN"),0.25,1))</f>
        <v>0</v>
      </c>
      <c r="FD77" s="66">
        <f>0</f>
        <v>0</v>
      </c>
      <c r="FE77" s="66">
        <f>IF(HostBuild[Server Type]="VMware",HostBuild[RAM 
(GB)]*IF(ISERROR(FIND("DevCloud", HostBuild[Server Model])&gt;0),vRAM_per_vCPU_2014_Monthly,vRAM_per_vCPU_2014_Daily*30),0)</f>
        <v>0</v>
      </c>
      <c r="FF7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7" s="69">
        <f>IF(HostBuild[Server Tier]="VMware",0,IF(LEFT(HostBuild[Existing Server?],3)="Yes",0,IF(OR(HostBuild[Server Type]="Sun",HostBuild[Server Type]="pSeries"),Support_Direct_Server_Sun_per_OS_2014,IF(HostBuild[Server Type]="x86",Support_Direct_Server_x86_Wintel_per_OS_2014,0))))</f>
        <v>0</v>
      </c>
      <c r="FI7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8" spans="1:165" hidden="1">
      <c r="A78" s="122" t="s">
        <v>53</v>
      </c>
      <c r="B78" s="36"/>
      <c r="C78" s="36"/>
      <c r="D78" s="36"/>
      <c r="E78" s="37"/>
      <c r="F78" s="37"/>
      <c r="G78" s="103"/>
      <c r="H78" s="103"/>
      <c r="I78" s="38"/>
      <c r="J78" s="37"/>
      <c r="K78" s="37"/>
      <c r="L78" s="37"/>
      <c r="M78" s="103" t="e">
        <f ca="1">IF(rngIsDate(HostBuild[CTO Acceptance]),"Y","N")</f>
        <v>#NAME?</v>
      </c>
      <c r="N78" s="123" t="s">
        <v>3</v>
      </c>
      <c r="O78" s="39"/>
      <c r="P78" s="39"/>
      <c r="Q78" s="123" t="s">
        <v>1</v>
      </c>
      <c r="R78" s="126" t="str">
        <f>IF(NOT(ISBLANK(HostBuild[Env Label])),IFERROR(VLOOKUP(HostBuild[Env Label],[1]!tEnv[#Data],3,FALSE),""),"")</f>
        <v/>
      </c>
      <c r="S78" s="104"/>
      <c r="T78" s="40"/>
      <c r="U78" s="105"/>
      <c r="V78" s="123" t="s">
        <v>75</v>
      </c>
      <c r="W78" s="123" t="s">
        <v>70</v>
      </c>
      <c r="X78" s="123" t="s">
        <v>57</v>
      </c>
      <c r="Y78" s="123" t="s">
        <v>58</v>
      </c>
      <c r="Z78" s="126" t="str">
        <f>IF(NOT(ISBLANK(HostBuild[[#This Row],[Product 
(Acronym)]])),CONCATENATE(HostBuild[[#This Row],[Type]],"-",HostBuild[[#This Row],[Product 
(Acronym)]]),"")</f>
        <v>AP-ESB</v>
      </c>
      <c r="AA78" s="106"/>
      <c r="AB78" s="106" t="s">
        <v>171</v>
      </c>
      <c r="AC78" s="41"/>
      <c r="AD78" s="42"/>
      <c r="AE78" s="42"/>
      <c r="AF78" s="43"/>
      <c r="AG78" s="124"/>
      <c r="AH78" s="107"/>
      <c r="AI78" s="124" t="s">
        <v>161</v>
      </c>
      <c r="AJ78" s="123">
        <f>IF(COUNTIF(HostBuild[Alias],HostBuild[Alias]),1/COUNTIF(HostBuild[Alias],HostBuild[Alias]),0)</f>
        <v>1</v>
      </c>
      <c r="AK78" s="124"/>
      <c r="AL78" s="124"/>
      <c r="AM78" s="44" t="s">
        <v>62</v>
      </c>
      <c r="AN78" s="45" t="str">
        <f>IF(NOT(ISBLANK(HostBuild[Server Model])),VLOOKUP(HostBuild[Server Model],[1]!ServerModelsTier[#Data],2,FALSE),"")</f>
        <v>x86 Tier 3</v>
      </c>
      <c r="AO78" s="45" t="str">
        <f>IF(NOT(ISBLANK(HostBuild[Server Model])),VLOOKUP(HostBuild[Server Model],[1]!ServerModelsTier[#Data],5,FALSE),"")</f>
        <v>x86</v>
      </c>
      <c r="AP78" s="44"/>
      <c r="AQ78" s="44" t="s">
        <v>63</v>
      </c>
      <c r="AR78" s="46"/>
      <c r="AS78" s="108"/>
      <c r="AT78" s="47">
        <v>16</v>
      </c>
      <c r="AU78" s="109" t="str">
        <f>IF(IFERROR(FIND("P-Series",HostBuild[Server Tier]),0),CEILING((HostBuild[Existing CPUs]+HostBuild[CPU])*16,8),"")</f>
        <v/>
      </c>
      <c r="AV78" s="48"/>
      <c r="AW78" s="124"/>
      <c r="AX78" s="124"/>
      <c r="AY78" s="124"/>
      <c r="AZ78" s="49"/>
      <c r="BA78" s="124"/>
      <c r="BB78" s="124"/>
      <c r="BC78" s="42"/>
      <c r="BD78" s="124"/>
      <c r="BE78" s="124"/>
      <c r="BF78" s="124"/>
      <c r="BG78" s="124"/>
      <c r="BH78" s="124"/>
      <c r="BI78" s="124"/>
      <c r="BJ78" s="124"/>
      <c r="BK78"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78" s="127">
        <v>270</v>
      </c>
      <c r="BM78" s="129">
        <f>IF(ISNUMBER(HostBuild[Recommended SAN (GB)]),HostBuild[Recommended SAN (GB)])+IF(HostBuild[Additional SAN (GB)]&gt;0,CEILING(HostBuild[Additional SAN (GB)],LUN),-(CEILING(-HostBuild[Additional SAN (GB)],LUN)))</f>
        <v>303.3</v>
      </c>
      <c r="BN78" s="128"/>
      <c r="BO78" s="129">
        <f>HostBuild[SAN (GB)
NEEDED TODAY]+CEILING(HostBuild[SAN (GB)
RESERVED
DO NOT USE TO BUILD], LUN)</f>
        <v>303.3</v>
      </c>
      <c r="BP78" s="130">
        <v>120</v>
      </c>
      <c r="BQ78" s="131"/>
      <c r="BR78" s="125" t="s">
        <v>76</v>
      </c>
      <c r="BS78" s="110">
        <f>IF(HostBuild[Existing Server?]&lt;&gt;"Yes - Inside this BoM",IF(ISNUMBER(HostBuild[RAM 
(GB)]),IF(HostBuild[Existing RAM (GB)]+HostBuild[RAM 
(GB)]&gt;0,IF(HostBuild[Virtual Platform Storage Type]="NAS",110+HostBuild[Existing RAM (GB)]+HostBuild[RAM 
(GB)]*1.75,0),0),0),0)</f>
        <v>0</v>
      </c>
      <c r="BT78" s="111"/>
      <c r="BU78" s="112">
        <f>IF(ISNUMBER(HostBuild[Recommended NAS (GB)]),HostBuild[Recommended NAS (GB)])+HostBuild[Additional NAS (GB)]</f>
        <v>0</v>
      </c>
      <c r="BV78" s="50"/>
      <c r="BW78" s="50"/>
      <c r="BX78" s="133">
        <f>IFERROR((HostBuild[SAN (GB)
End-State
DO NOT USE TO BUILD]+HostBuild[SAN (GB) Shared])*25%,"")</f>
        <v>105.825</v>
      </c>
      <c r="BY78" s="113">
        <f>IFERROR(HostBuild[Archive
Full (GB)]*15%,"")</f>
        <v>15.873749999999999</v>
      </c>
      <c r="BZ78" s="51"/>
      <c r="CA78" s="51"/>
      <c r="CB78" s="52"/>
      <c r="CC78" s="53"/>
      <c r="CD78" s="52"/>
      <c r="CE78" s="54"/>
      <c r="CF78" s="128"/>
      <c r="CG78" s="114"/>
      <c r="CH78" s="55"/>
      <c r="CI78" s="56"/>
      <c r="CJ78" s="57" t="s">
        <v>78</v>
      </c>
      <c r="CK78" s="58"/>
      <c r="CL78" s="59">
        <f>IFERROR(IF(FIND(CL$1,$W78)&gt;0,IF(INDEX([1]!Product_Pricing_Table[#Data],MATCH(CL$1,Products,0),2)="Cores",IF(HostBuild[Use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8" s="59">
        <f>IFERROR(IF(FIND(CM$1,$W78)&gt;0,IF(INDEX([1]!Product_Pricing_Table[#Data],MATCH(CM$1,Products,0),2)="Cores",IF(HostBuild[Use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8" s="59">
        <f>IFERROR(IF(FIND(CN$1,$W78)&gt;0,IF(INDEX([1]!Product_Pricing_Table[#Data],MATCH(CN$1,Products,0),2)="Cores",IF(HostBuild[Use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8" s="59">
        <f>IFERROR(IF(FIND(CO$1,$W78)&gt;0,IF(INDEX([1]!Product_Pricing_Table[#Data],MATCH(CO$1,Products,0),2)="Cores",IF(HostBuild[Use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8" s="59">
        <f>IFERROR(IF(FIND(CP$1,$W78)&gt;0,IF(INDEX([1]!Product_Pricing_Table[#Data],MATCH(CP$1,Products,0),2)="Cores",IF(HostBuild[Use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8" s="59">
        <f>IFERROR(IF(FIND(CQ$1,$W78)&gt;0,IF(INDEX([1]!Product_Pricing_Table[#Data],MATCH(CQ$1,Products,0),2)="Cores",IF(HostBuild[Use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8" s="59">
        <f>IFERROR(IF(FIND(CR$1,$W78)&gt;0,IF(INDEX([1]!Product_Pricing_Table[#Data],MATCH(CR$1,Products,0),2)="Cores",IF(HostBuild[Use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8" s="59">
        <f>IFERROR(IF(FIND(CS$1,$W78)&gt;0,IF(INDEX([1]!Product_Pricing_Table[#Data],MATCH(CS$1,Products,0),2)="Cores",IF(HostBuild[Use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8" s="59">
        <f>IFERROR(IF(FIND(CT$1,$W78)&gt;0,IF(INDEX([1]!Product_Pricing_Table[#Data],MATCH(CT$1,Products,0),2)="Cores",IF(HostBuild[Use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8" s="59">
        <f>IFERROR(IF(FIND(CU$1,$W78)&gt;0,IF(INDEX([1]!Product_Pricing_Table[#Data],MATCH(CU$1,Products,0),2)="Cores",IF(HostBuild[Use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8" s="59">
        <f>IFERROR(IF(FIND(CV$1,$W78)&gt;0,IF(INDEX([1]!Product_Pricing_Table[#Data],MATCH(CV$1,Products,0),2)="Cores",IF(HostBuild[Use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8" s="59">
        <f>IFERROR(IF(FIND(CW$1,$W78)&gt;0,IF(INDEX([1]!Product_Pricing_Table[#Data],MATCH(CW$1,Products,0),2)="Cores",IF(HostBuild[Use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8" s="59">
        <f>IFERROR(IF(FIND(CX$1,$W78)&gt;0,IF(INDEX([1]!Product_Pricing_Table[#Data],MATCH(CX$1,Products,0),2)="Cores",IF(HostBuild[Use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8" s="59">
        <f>IFERROR(IF(FIND(CY$1,$W78)&gt;0,IF(INDEX([1]!Product_Pricing_Table[#Data],MATCH(CY$1,Products,0),2)="Cores",IF(HostBuild[Use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8" s="59">
        <f>IFERROR(IF(FIND(CZ$1,$W78)&gt;0,IF(INDEX([1]!Product_Pricing_Table[#Data],MATCH(CZ$1,Products,0),2)="Cores",IF(HostBuild[Use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8" s="59">
        <f>IFERROR(IF(FIND(DA$1,$W78)&gt;0,IF(INDEX([1]!Product_Pricing_Table[#Data],MATCH(DA$1,Products,0),2)="Cores",IF(HostBuild[Use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8" s="59">
        <f>IFERROR(IF(FIND(DB$1,$W78)&gt;0,IF(INDEX([1]!Product_Pricing_Table[#Data],MATCH(DB$1,Products,0),2)="Cores",IF(HostBuild[Use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8" s="59">
        <f>IFERROR(IF(FIND(DC$1,$W78)&gt;0,IF(INDEX([1]!Product_Pricing_Table[#Data],MATCH(DC$1,Products,0),2)="Cores",IF(HostBuild[Use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8" s="59">
        <f>IFERROR(IF(FIND(DD$1,$W78)&gt;0,IF(INDEX([1]!Product_Pricing_Table[#Data],MATCH(DD$1,Products,0),2)="Cores",IF(HostBuild[Use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8" s="59">
        <f>IFERROR(IF(FIND(DE$1,$W78)&gt;0,IF(INDEX([1]!Product_Pricing_Table[#Data],MATCH(DE$1,Products,0),2)="Cores",IF(HostBuild[Use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8" s="60">
        <f>IFERROR(IF(FIND(DF$1,$W78)&gt;0,IF(INDEX([1]!Product_Pricing_Table[#Data],MATCH(DF$1,Products,0),2)="Cores",IF(HostBuild[Use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8" s="60">
        <f>IFERROR(IF(FIND(DG$1,$W78)&gt;0,IF(INDEX([1]!Product_Pricing_Table[#Data],MATCH(DG$1,Products,0),2)="Cores",IF(HostBuild[Use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8" s="59">
        <f>IFERROR(IF(FIND(DH$1,$W78)&gt;0,IF(INDEX([1]!Product_Pricing_Table[#Data],MATCH(DH$1,Products,0),2)="Cores",IF(HostBuild[Use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8" s="60">
        <f>IFERROR(IF(FIND(DI$1,$W78)&gt;0,IF(INDEX([1]!Product_Pricing_Table[#Data],MATCH(DI$1,Products,0),2)="Cores",IF(HostBuild[Use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8" s="59">
        <f>IFERROR(IF(FIND(DJ$1,$W78)&gt;0,IF(INDEX([1]!Product_Pricing_Table[#Data],MATCH(DJ$1,Products,0),2)="Cores",IF(HostBuild[Use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8" s="59">
        <f>IFERROR(IF(FIND(DK$1,$W78)&gt;0,IF(INDEX([1]!Product_Pricing_Table[#Data],MATCH(DK$1,Products,0),2)="Cores",IF(HostBuild[Use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8" s="59">
        <f>IFERROR(IF(FIND(DL$1,$W78)&gt;0,IF(INDEX([1]!Product_Pricing_Table[#Data],MATCH(DL$1,Products,0),2)="Cores",IF(HostBuild[Use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8" s="59">
        <f>IFERROR(IF(FIND(DM$1,$W78)&gt;0,IF(INDEX([1]!Product_Pricing_Table[#Data],MATCH(DM$1,Products,0),2)="Cores",IF(HostBuild[Use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8" s="59">
        <f>IFERROR(IF(FIND(DN$1,$W78)&gt;0,IF(INDEX([1]!Product_Pricing_Table[#Data],MATCH(DN$1,Products,0),2)="Cores",IF(HostBuild[Use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8" s="59">
        <f>IFERROR(IF(FIND(DO$1,$W78)&gt;0,IF(INDEX([1]!Product_Pricing_Table[#Data],MATCH(DO$1,Products,0),2)="Cores",IF(HostBuild[Use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8" s="59">
        <f>IFERROR(IF(FIND(DP$1,$W78)&gt;0,IF(INDEX([1]!Product_Pricing_Table[#Data],MATCH(DP$1,Products,0),2)="Cores",IF(HostBuild[Use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8" s="59">
        <f>IFERROR(IF(FIND(DQ$1,$W78)&gt;0,IF(INDEX([1]!Product_Pricing_Table[#Data],MATCH(DQ$1,Products,0),2)="Cores",IF(HostBuild[Use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8" s="59">
        <f>IFERROR(IF(FIND(DR$1,$W78)&gt;0,IF(INDEX([1]!Product_Pricing_Table[#Data],MATCH(DR$1,Products,0),2)="Cores",IF(HostBuild[Use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8" s="59">
        <f>IFERROR(IF(FIND(DS$1,$W78)&gt;0,IF(INDEX([1]!Product_Pricing_Table[#Data],MATCH(DS$1,Products,0),2)="Cores",IF(HostBuild[Use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8" s="59">
        <f>IFERROR(IF(FIND(DT$1,$W78)&gt;0,IF(INDEX([1]!Product_Pricing_Table[#Data],MATCH(DT$1,Products,0),2)="Cores",IF(HostBuild[Use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8" s="59">
        <f>IFERROR(IF(FIND(DU$1,$W78)&gt;0,IF(INDEX([1]!Product_Pricing_Table[#Data],MATCH(DU$1,Products,0),2)="Cores",IF(HostBuild[Use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8" s="59">
        <f>IFERROR(IF(FIND(DV$1,$W78)&gt;0,IF(INDEX([1]!Product_Pricing_Table[#Data],MATCH(DV$1,Products,0),2)="Cores",IF(HostBuild[Use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8" s="59">
        <f>IFERROR(IF(FIND(DW$1,$W78)&gt;0,IF(INDEX([1]!Product_Pricing_Table[#Data],MATCH(DW$1,Products,0),2)="Cores",IF(HostBuild[Use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8" s="59">
        <f>IFERROR(IF(FIND(DX$1,$W78)&gt;0,IF(INDEX([1]!Product_Pricing_Table[#Data],MATCH(DX$1,Products,0),2)="Cores",IF(HostBuild[Use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8" s="59">
        <f>IFERROR(IF(FIND(DY$1,$W78)&gt;0,IF(INDEX([1]!Product_Pricing_Table[#Data],MATCH(DY$1,Products,0),2)="Cores",IF(HostBuild[Use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8" s="59">
        <f>IFERROR(IF(FIND(DZ$1,$W78)&gt;0,IF(INDEX([1]!Product_Pricing_Table[#Data],MATCH(DZ$1,Products,0),2)="Cores",IF(HostBuild[Use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8" s="59">
        <f>IFERROR(IF(FIND(EA$1,$W78)&gt;0,IF(INDEX([1]!Product_Pricing_Table[#Data],MATCH(EA$1,Products,0),2)="Cores",IF(HostBuild[Use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8" s="59">
        <f>IFERROR(IF(FIND(EB$1,$W78)&gt;0,IF(INDEX([1]!Product_Pricing_Table[#Data],MATCH(EB$1,Products,0),2)="Cores",IF(HostBuild[Use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8" s="60">
        <f>IFERROR(IF(FIND(EC$1,$W78)&gt;0,IF(INDEX([1]!Product_Pricing_Table[#Data],MATCH(EC$1,Products,0),2)="Cores",IF(HostBuild[Use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8" s="59">
        <f>IFERROR(IF(FIND(ED$1,$W78)&gt;0,IF(INDEX([1]!Product_Pricing_Table[#Data],MATCH(ED$1,Products,0),2)="Cores",IF(HostBuild[Use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8" s="59">
        <f>IFERROR(IF(FIND(EE$1,$W78)&gt;0,IF(INDEX([1]!Product_Pricing_Table[#Data],MATCH(EE$1,Products,0),2)="Cores",IF(HostBuild[Use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8" s="59">
        <f>IFERROR(IF(FIND(EF$1,$W78)&gt;0,IF(INDEX([1]!Product_Pricing_Table[#Data],MATCH(EF$1,Products,0),2)="Cores",IF(HostBuild[Use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8" s="59">
        <f>IFERROR(IF(FIND(EG$1,$W78)&gt;0,IF(INDEX([1]!Product_Pricing_Table[#Data],MATCH(EG$1,Products,0),2)="Cores",IF(HostBuild[Use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8" s="59">
        <f>IFERROR(IF(FIND(EH$1,$W78)&gt;0,IF(INDEX([1]!Product_Pricing_Table[#Data],MATCH(EH$1,Products,0),2)="Cores",IF(HostBuild[Use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8" s="59">
        <f>IFERROR(IF(FIND(EI$1,$W78)&gt;0,IF(INDEX([1]!Product_Pricing_Table[#Data],MATCH(EI$1,Products,0),2)="Cores",IF(HostBuild[Use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8" s="59">
        <f>IFERROR(IF(FIND(EJ$1,$W78)&gt;0,IF(INDEX([1]!Product_Pricing_Table[#Data],MATCH(EJ$1,Products,0),2)="Cores",IF(HostBuild[Use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8" s="60">
        <f>IFERROR(IF(FIND(EK$1,$W78)&gt;0,IF(INDEX([1]!Product_Pricing_Table[#Data],MATCH(EK$1,Products,0),2)="Cores",IF(HostBuild[Use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8" s="61"/>
      <c r="EM78" s="62"/>
      <c r="EN78" s="63"/>
      <c r="EO78"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7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271.28500000000003</v>
      </c>
      <c r="EQ78" s="132">
        <f>(HostBuild[Archive
Full (GB)]+HostBuild[Archive
Incr (GB)])*Storage_DC_Dist_Tape_2014</f>
        <v>42.594562500000002</v>
      </c>
      <c r="ER78" s="132">
        <f>IF(ISNUMBER(HostBuild[Server HW Costs
(Monthly)]),SUM(HostBuild[[#This Row],[Server HW Costs
(Monthly)]:[Tape Costs
(Monthly)]]),0)</f>
        <v>313.87956250000002</v>
      </c>
      <c r="ES78" s="65">
        <f>HostBuild[Software Costs
'[Year 1']
(Monthly)]+HostBuild[Total Hardware Costs
(Monthly)]</f>
        <v>313.87956250000002</v>
      </c>
      <c r="ET78" s="65">
        <f>IFERROR(IF(FIND("Safenet",HostBuild[Server Model]),Safenet_PSE_PL600_Maint,0),0)+IFERROR(IF(FIND("XI52",HostBuild[Server Model]),IBM_DIA_XI52_Maint,0),0)+HostBuild[Software Costs
'[After Year 1']
(Monthly)]+HostBuild[Total Hardware Costs
(Monthly)]</f>
        <v>313.87956250000002</v>
      </c>
      <c r="EU78" s="66">
        <f>SUM(HostBuild[[#This Row],[Server Cost Breakdown]:[Network Cost]])</f>
        <v>0</v>
      </c>
      <c r="EV78" s="67">
        <f>IF(HostBuild[Existing Server?]="Yes - Inside this BoM",0,SUMIF(HostBuild[Alias],HostBuild[Alias],HostBuild[CPU])+SUMIF(HostBuild[Alias],HostBuild[Alias],HostBuild[Existing CPUs]))</f>
        <v>0</v>
      </c>
      <c r="EW78" s="67">
        <f>IF(HostBuild[Existing Server?]="Yes - Inside this BoM",0,SUMIF(HostBuild[Alias],HostBuild[Alias],HostBuild[Cores 
(Licensed Units)])+SUMIF(HostBuild[Alias],HostBuild[Alias],HostBuild[Existing Cores]))</f>
        <v>0</v>
      </c>
      <c r="EX78" s="67">
        <f>IF(HostBuild[Existing Server?]="Yes - Inside this BoM",0,SUMIF(HostBuild[Alias],HostBuild[Alias],HostBuild[RAM 
(GB)])+SUMIF(HostBuild[Alias],HostBuild[Alias],HostBuild[Existing RAM (GB)]))</f>
        <v>0</v>
      </c>
      <c r="EY7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8" s="66">
        <f>IF(ISBLANK(HostBuild[Server Model]),0,IF(HostBuild[Server Tier]="VMware",0,VLOOKUP(HostBuild[Server Tier],[1]!ServerTierRates[#Data],2,0))*HostBuild[CPU]*IF(AND(HostBuild[Server Type]="pSeries",HostBuild[Virtual Platform Storage Type]="Cloud-SAN"),0.25,1))</f>
        <v>0</v>
      </c>
      <c r="FD78" s="66">
        <f>0</f>
        <v>0</v>
      </c>
      <c r="FE78" s="66">
        <f>IF(HostBuild[Server Type]="VMware",HostBuild[RAM 
(GB)]*IF(ISERROR(FIND("DevCloud", HostBuild[Server Model])&gt;0),vRAM_per_vCPU_2014_Monthly,vRAM_per_vCPU_2014_Daily*30),0)</f>
        <v>0</v>
      </c>
      <c r="FF7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8" s="69">
        <f>IF(HostBuild[Server Tier]="VMware",0,IF(LEFT(HostBuild[Existing Server?],3)="Yes",0,IF(OR(HostBuild[Server Type]="Sun",HostBuild[Server Type]="pSeries"),Support_Direct_Server_Sun_per_OS_2014,IF(HostBuild[Server Type]="x86",Support_Direct_Server_x86_Wintel_per_OS_2014,0))))</f>
        <v>0</v>
      </c>
      <c r="FI7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79" spans="1:165" hidden="1">
      <c r="A79" s="122" t="s">
        <v>53</v>
      </c>
      <c r="B79" s="36"/>
      <c r="C79" s="36"/>
      <c r="D79" s="36"/>
      <c r="E79" s="37"/>
      <c r="F79" s="37"/>
      <c r="G79" s="103"/>
      <c r="H79" s="103"/>
      <c r="I79" s="38"/>
      <c r="J79" s="37"/>
      <c r="K79" s="37"/>
      <c r="L79" s="37"/>
      <c r="M79" s="103" t="e">
        <f ca="1">IF(rngIsDate(HostBuild[CTO Acceptance]),"Y","N")</f>
        <v>#NAME?</v>
      </c>
      <c r="N79" s="123" t="s">
        <v>3</v>
      </c>
      <c r="O79" s="39"/>
      <c r="P79" s="39"/>
      <c r="Q79" s="123" t="s">
        <v>1</v>
      </c>
      <c r="R79" s="126" t="str">
        <f>IF(NOT(ISBLANK(HostBuild[Env Label])),IFERROR(VLOOKUP(HostBuild[Env Label],[1]!tEnv[#Data],3,FALSE),""),"")</f>
        <v/>
      </c>
      <c r="S79" s="104"/>
      <c r="T79" s="40"/>
      <c r="U79" s="105"/>
      <c r="V79" s="123" t="s">
        <v>75</v>
      </c>
      <c r="W79" s="123" t="s">
        <v>70</v>
      </c>
      <c r="X79" s="123" t="s">
        <v>57</v>
      </c>
      <c r="Y79" s="123" t="s">
        <v>58</v>
      </c>
      <c r="Z79" s="126" t="str">
        <f>IF(NOT(ISBLANK(HostBuild[[#This Row],[Product 
(Acronym)]])),CONCATENATE(HostBuild[[#This Row],[Type]],"-",HostBuild[[#This Row],[Product 
(Acronym)]]),"")</f>
        <v>AP-ESB</v>
      </c>
      <c r="AA79" s="106"/>
      <c r="AB79" s="106" t="s">
        <v>171</v>
      </c>
      <c r="AC79" s="41"/>
      <c r="AD79" s="42"/>
      <c r="AE79" s="42"/>
      <c r="AF79" s="43"/>
      <c r="AG79" s="124"/>
      <c r="AH79" s="107"/>
      <c r="AI79" s="124" t="s">
        <v>162</v>
      </c>
      <c r="AJ79" s="123">
        <f>IF(COUNTIF(HostBuild[Alias],HostBuild[Alias]),1/COUNTIF(HostBuild[Alias],HostBuild[Alias]),0)</f>
        <v>1</v>
      </c>
      <c r="AK79" s="124"/>
      <c r="AL79" s="124"/>
      <c r="AM79" s="44" t="s">
        <v>62</v>
      </c>
      <c r="AN79" s="45" t="str">
        <f>IF(NOT(ISBLANK(HostBuild[Server Model])),VLOOKUP(HostBuild[Server Model],[1]!ServerModelsTier[#Data],2,FALSE),"")</f>
        <v>x86 Tier 3</v>
      </c>
      <c r="AO79" s="45" t="str">
        <f>IF(NOT(ISBLANK(HostBuild[Server Model])),VLOOKUP(HostBuild[Server Model],[1]!ServerModelsTier[#Data],5,FALSE),"")</f>
        <v>x86</v>
      </c>
      <c r="AP79" s="44"/>
      <c r="AQ79" s="44" t="s">
        <v>63</v>
      </c>
      <c r="AR79" s="46"/>
      <c r="AS79" s="108"/>
      <c r="AT79" s="47">
        <v>16</v>
      </c>
      <c r="AU79" s="109" t="str">
        <f>IF(IFERROR(FIND("P-Series",HostBuild[Server Tier]),0),CEILING((HostBuild[Existing CPUs]+HostBuild[CPU])*16,8),"")</f>
        <v/>
      </c>
      <c r="AV79" s="48"/>
      <c r="AW79" s="124"/>
      <c r="AX79" s="124"/>
      <c r="AY79" s="124"/>
      <c r="AZ79" s="49"/>
      <c r="BA79" s="124"/>
      <c r="BB79" s="124"/>
      <c r="BC79" s="42"/>
      <c r="BD79" s="124"/>
      <c r="BE79" s="124"/>
      <c r="BF79" s="124"/>
      <c r="BG79" s="124"/>
      <c r="BH79" s="124"/>
      <c r="BI79" s="124"/>
      <c r="BJ79" s="124"/>
      <c r="BK79"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79" s="127">
        <v>150</v>
      </c>
      <c r="BM79" s="129">
        <f>IF(ISNUMBER(HostBuild[Recommended SAN (GB)]),HostBuild[Recommended SAN (GB)])+IF(HostBuild[Additional SAN (GB)]&gt;0,CEILING(HostBuild[Additional SAN (GB)],LUN),-(CEILING(-HostBuild[Additional SAN (GB)],LUN)))</f>
        <v>168.5</v>
      </c>
      <c r="BN79" s="128"/>
      <c r="BO79" s="129">
        <f>HostBuild[SAN (GB)
NEEDED TODAY]+CEILING(HostBuild[SAN (GB)
RESERVED
DO NOT USE TO BUILD], LUN)</f>
        <v>168.5</v>
      </c>
      <c r="BP79" s="130"/>
      <c r="BQ79" s="131"/>
      <c r="BR79" s="125" t="s">
        <v>76</v>
      </c>
      <c r="BS79" s="110">
        <f>IF(HostBuild[Existing Server?]&lt;&gt;"Yes - Inside this BoM",IF(ISNUMBER(HostBuild[RAM 
(GB)]),IF(HostBuild[Existing RAM (GB)]+HostBuild[RAM 
(GB)]&gt;0,IF(HostBuild[Virtual Platform Storage Type]="NAS",110+HostBuild[Existing RAM (GB)]+HostBuild[RAM 
(GB)]*1.75,0),0),0),0)</f>
        <v>0</v>
      </c>
      <c r="BT79" s="111"/>
      <c r="BU79" s="112">
        <f>IF(ISNUMBER(HostBuild[Recommended NAS (GB)]),HostBuild[Recommended NAS (GB)])+HostBuild[Additional NAS (GB)]</f>
        <v>0</v>
      </c>
      <c r="BV79" s="50"/>
      <c r="BW79" s="50"/>
      <c r="BX79" s="133">
        <f>IFERROR((HostBuild[SAN (GB)
End-State
DO NOT USE TO BUILD]+HostBuild[SAN (GB) Shared])*25%,"")</f>
        <v>42.125</v>
      </c>
      <c r="BY79" s="113">
        <f>IFERROR(HostBuild[Archive
Full (GB)]*15%,"")</f>
        <v>6.3187499999999996</v>
      </c>
      <c r="BZ79" s="51"/>
      <c r="CA79" s="51"/>
      <c r="CB79" s="52"/>
      <c r="CC79" s="53"/>
      <c r="CD79" s="52"/>
      <c r="CE79" s="54"/>
      <c r="CF79" s="128"/>
      <c r="CG79" s="114"/>
      <c r="CH79" s="55"/>
      <c r="CI79" s="56"/>
      <c r="CJ79" s="57" t="s">
        <v>78</v>
      </c>
      <c r="CK79" s="58"/>
      <c r="CL79" s="59">
        <f>IFERROR(IF(FIND(CL$1,$W79)&gt;0,IF(INDEX([1]!Product_Pricing_Table[#Data],MATCH(CL$1,Products,0),2)="Cores",IF(HostBuild[Use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79" s="59">
        <f>IFERROR(IF(FIND(CM$1,$W79)&gt;0,IF(INDEX([1]!Product_Pricing_Table[#Data],MATCH(CM$1,Products,0),2)="Cores",IF(HostBuild[Use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79" s="59">
        <f>IFERROR(IF(FIND(CN$1,$W79)&gt;0,IF(INDEX([1]!Product_Pricing_Table[#Data],MATCH(CN$1,Products,0),2)="Cores",IF(HostBuild[Use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79" s="59">
        <f>IFERROR(IF(FIND(CO$1,$W79)&gt;0,IF(INDEX([1]!Product_Pricing_Table[#Data],MATCH(CO$1,Products,0),2)="Cores",IF(HostBuild[Use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79" s="59">
        <f>IFERROR(IF(FIND(CP$1,$W79)&gt;0,IF(INDEX([1]!Product_Pricing_Table[#Data],MATCH(CP$1,Products,0),2)="Cores",IF(HostBuild[Use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79" s="59">
        <f>IFERROR(IF(FIND(CQ$1,$W79)&gt;0,IF(INDEX([1]!Product_Pricing_Table[#Data],MATCH(CQ$1,Products,0),2)="Cores",IF(HostBuild[Use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79" s="59">
        <f>IFERROR(IF(FIND(CR$1,$W79)&gt;0,IF(INDEX([1]!Product_Pricing_Table[#Data],MATCH(CR$1,Products,0),2)="Cores",IF(HostBuild[Use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79" s="59">
        <f>IFERROR(IF(FIND(CS$1,$W79)&gt;0,IF(INDEX([1]!Product_Pricing_Table[#Data],MATCH(CS$1,Products,0),2)="Cores",IF(HostBuild[Use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79" s="59">
        <f>IFERROR(IF(FIND(CT$1,$W79)&gt;0,IF(INDEX([1]!Product_Pricing_Table[#Data],MATCH(CT$1,Products,0),2)="Cores",IF(HostBuild[Use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79" s="59">
        <f>IFERROR(IF(FIND(CU$1,$W79)&gt;0,IF(INDEX([1]!Product_Pricing_Table[#Data],MATCH(CU$1,Products,0),2)="Cores",IF(HostBuild[Use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79" s="59">
        <f>IFERROR(IF(FIND(CV$1,$W79)&gt;0,IF(INDEX([1]!Product_Pricing_Table[#Data],MATCH(CV$1,Products,0),2)="Cores",IF(HostBuild[Use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79" s="59">
        <f>IFERROR(IF(FIND(CW$1,$W79)&gt;0,IF(INDEX([1]!Product_Pricing_Table[#Data],MATCH(CW$1,Products,0),2)="Cores",IF(HostBuild[Use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79" s="59">
        <f>IFERROR(IF(FIND(CX$1,$W79)&gt;0,IF(INDEX([1]!Product_Pricing_Table[#Data],MATCH(CX$1,Products,0),2)="Cores",IF(HostBuild[Use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79" s="59">
        <f>IFERROR(IF(FIND(CY$1,$W79)&gt;0,IF(INDEX([1]!Product_Pricing_Table[#Data],MATCH(CY$1,Products,0),2)="Cores",IF(HostBuild[Use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79" s="59">
        <f>IFERROR(IF(FIND(CZ$1,$W79)&gt;0,IF(INDEX([1]!Product_Pricing_Table[#Data],MATCH(CZ$1,Products,0),2)="Cores",IF(HostBuild[Use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79" s="59">
        <f>IFERROR(IF(FIND(DA$1,$W79)&gt;0,IF(INDEX([1]!Product_Pricing_Table[#Data],MATCH(DA$1,Products,0),2)="Cores",IF(HostBuild[Use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79" s="59">
        <f>IFERROR(IF(FIND(DB$1,$W79)&gt;0,IF(INDEX([1]!Product_Pricing_Table[#Data],MATCH(DB$1,Products,0),2)="Cores",IF(HostBuild[Use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79" s="59">
        <f>IFERROR(IF(FIND(DC$1,$W79)&gt;0,IF(INDEX([1]!Product_Pricing_Table[#Data],MATCH(DC$1,Products,0),2)="Cores",IF(HostBuild[Use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79" s="59">
        <f>IFERROR(IF(FIND(DD$1,$W79)&gt;0,IF(INDEX([1]!Product_Pricing_Table[#Data],MATCH(DD$1,Products,0),2)="Cores",IF(HostBuild[Use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79" s="59">
        <f>IFERROR(IF(FIND(DE$1,$W79)&gt;0,IF(INDEX([1]!Product_Pricing_Table[#Data],MATCH(DE$1,Products,0),2)="Cores",IF(HostBuild[Use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79" s="60">
        <f>IFERROR(IF(FIND(DF$1,$W79)&gt;0,IF(INDEX([1]!Product_Pricing_Table[#Data],MATCH(DF$1,Products,0),2)="Cores",IF(HostBuild[Use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79" s="60">
        <f>IFERROR(IF(FIND(DG$1,$W79)&gt;0,IF(INDEX([1]!Product_Pricing_Table[#Data],MATCH(DG$1,Products,0),2)="Cores",IF(HostBuild[Use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79" s="59">
        <f>IFERROR(IF(FIND(DH$1,$W79)&gt;0,IF(INDEX([1]!Product_Pricing_Table[#Data],MATCH(DH$1,Products,0),2)="Cores",IF(HostBuild[Use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79" s="60">
        <f>IFERROR(IF(FIND(DI$1,$W79)&gt;0,IF(INDEX([1]!Product_Pricing_Table[#Data],MATCH(DI$1,Products,0),2)="Cores",IF(HostBuild[Use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79" s="59">
        <f>IFERROR(IF(FIND(DJ$1,$W79)&gt;0,IF(INDEX([1]!Product_Pricing_Table[#Data],MATCH(DJ$1,Products,0),2)="Cores",IF(HostBuild[Use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79" s="59">
        <f>IFERROR(IF(FIND(DK$1,$W79)&gt;0,IF(INDEX([1]!Product_Pricing_Table[#Data],MATCH(DK$1,Products,0),2)="Cores",IF(HostBuild[Use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79" s="59">
        <f>IFERROR(IF(FIND(DL$1,$W79)&gt;0,IF(INDEX([1]!Product_Pricing_Table[#Data],MATCH(DL$1,Products,0),2)="Cores",IF(HostBuild[Use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79" s="59">
        <f>IFERROR(IF(FIND(DM$1,$W79)&gt;0,IF(INDEX([1]!Product_Pricing_Table[#Data],MATCH(DM$1,Products,0),2)="Cores",IF(HostBuild[Use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79" s="59">
        <f>IFERROR(IF(FIND(DN$1,$W79)&gt;0,IF(INDEX([1]!Product_Pricing_Table[#Data],MATCH(DN$1,Products,0),2)="Cores",IF(HostBuild[Use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79" s="59">
        <f>IFERROR(IF(FIND(DO$1,$W79)&gt;0,IF(INDEX([1]!Product_Pricing_Table[#Data],MATCH(DO$1,Products,0),2)="Cores",IF(HostBuild[Use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79" s="59">
        <f>IFERROR(IF(FIND(DP$1,$W79)&gt;0,IF(INDEX([1]!Product_Pricing_Table[#Data],MATCH(DP$1,Products,0),2)="Cores",IF(HostBuild[Use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79" s="59">
        <f>IFERROR(IF(FIND(DQ$1,$W79)&gt;0,IF(INDEX([1]!Product_Pricing_Table[#Data],MATCH(DQ$1,Products,0),2)="Cores",IF(HostBuild[Use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79" s="59">
        <f>IFERROR(IF(FIND(DR$1,$W79)&gt;0,IF(INDEX([1]!Product_Pricing_Table[#Data],MATCH(DR$1,Products,0),2)="Cores",IF(HostBuild[Use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79" s="59">
        <f>IFERROR(IF(FIND(DS$1,$W79)&gt;0,IF(INDEX([1]!Product_Pricing_Table[#Data],MATCH(DS$1,Products,0),2)="Cores",IF(HostBuild[Use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79" s="59">
        <f>IFERROR(IF(FIND(DT$1,$W79)&gt;0,IF(INDEX([1]!Product_Pricing_Table[#Data],MATCH(DT$1,Products,0),2)="Cores",IF(HostBuild[Use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79" s="59">
        <f>IFERROR(IF(FIND(DU$1,$W79)&gt;0,IF(INDEX([1]!Product_Pricing_Table[#Data],MATCH(DU$1,Products,0),2)="Cores",IF(HostBuild[Use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79" s="59">
        <f>IFERROR(IF(FIND(DV$1,$W79)&gt;0,IF(INDEX([1]!Product_Pricing_Table[#Data],MATCH(DV$1,Products,0),2)="Cores",IF(HostBuild[Use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79" s="59">
        <f>IFERROR(IF(FIND(DW$1,$W79)&gt;0,IF(INDEX([1]!Product_Pricing_Table[#Data],MATCH(DW$1,Products,0),2)="Cores",IF(HostBuild[Use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79" s="59">
        <f>IFERROR(IF(FIND(DX$1,$W79)&gt;0,IF(INDEX([1]!Product_Pricing_Table[#Data],MATCH(DX$1,Products,0),2)="Cores",IF(HostBuild[Use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79" s="59">
        <f>IFERROR(IF(FIND(DY$1,$W79)&gt;0,IF(INDEX([1]!Product_Pricing_Table[#Data],MATCH(DY$1,Products,0),2)="Cores",IF(HostBuild[Use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79" s="59">
        <f>IFERROR(IF(FIND(DZ$1,$W79)&gt;0,IF(INDEX([1]!Product_Pricing_Table[#Data],MATCH(DZ$1,Products,0),2)="Cores",IF(HostBuild[Use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79" s="59">
        <f>IFERROR(IF(FIND(EA$1,$W79)&gt;0,IF(INDEX([1]!Product_Pricing_Table[#Data],MATCH(EA$1,Products,0),2)="Cores",IF(HostBuild[Use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79" s="59">
        <f>IFERROR(IF(FIND(EB$1,$W79)&gt;0,IF(INDEX([1]!Product_Pricing_Table[#Data],MATCH(EB$1,Products,0),2)="Cores",IF(HostBuild[Use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79" s="60">
        <f>IFERROR(IF(FIND(EC$1,$W79)&gt;0,IF(INDEX([1]!Product_Pricing_Table[#Data],MATCH(EC$1,Products,0),2)="Cores",IF(HostBuild[Use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79" s="59">
        <f>IFERROR(IF(FIND(ED$1,$W79)&gt;0,IF(INDEX([1]!Product_Pricing_Table[#Data],MATCH(ED$1,Products,0),2)="Cores",IF(HostBuild[Use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79" s="59">
        <f>IFERROR(IF(FIND(EE$1,$W79)&gt;0,IF(INDEX([1]!Product_Pricing_Table[#Data],MATCH(EE$1,Products,0),2)="Cores",IF(HostBuild[Use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79" s="59">
        <f>IFERROR(IF(FIND(EF$1,$W79)&gt;0,IF(INDEX([1]!Product_Pricing_Table[#Data],MATCH(EF$1,Products,0),2)="Cores",IF(HostBuild[Use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79" s="59">
        <f>IFERROR(IF(FIND(EG$1,$W79)&gt;0,IF(INDEX([1]!Product_Pricing_Table[#Data],MATCH(EG$1,Products,0),2)="Cores",IF(HostBuild[Use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79" s="59">
        <f>IFERROR(IF(FIND(EH$1,$W79)&gt;0,IF(INDEX([1]!Product_Pricing_Table[#Data],MATCH(EH$1,Products,0),2)="Cores",IF(HostBuild[Use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79" s="59">
        <f>IFERROR(IF(FIND(EI$1,$W79)&gt;0,IF(INDEX([1]!Product_Pricing_Table[#Data],MATCH(EI$1,Products,0),2)="Cores",IF(HostBuild[Use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79" s="59">
        <f>IFERROR(IF(FIND(EJ$1,$W79)&gt;0,IF(INDEX([1]!Product_Pricing_Table[#Data],MATCH(EJ$1,Products,0),2)="Cores",IF(HostBuild[Use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79" s="60">
        <f>IFERROR(IF(FIND(EK$1,$W79)&gt;0,IF(INDEX([1]!Product_Pricing_Table[#Data],MATCH(EK$1,Products,0),2)="Cores",IF(HostBuild[Use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79" s="61"/>
      <c r="EM79" s="62"/>
      <c r="EN79" s="63"/>
      <c r="EO79"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7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79" s="132">
        <f>(HostBuild[Archive
Full (GB)]+HostBuild[Archive
Incr (GB)])*Storage_DC_Dist_Tape_2014</f>
        <v>16.955312499999998</v>
      </c>
      <c r="ER79" s="132">
        <f>IF(ISNUMBER(HostBuild[Server HW Costs
(Monthly)]),SUM(HostBuild[[#This Row],[Server HW Costs
(Monthly)]:[Tape Costs
(Monthly)]]),0)</f>
        <v>92.780312500000008</v>
      </c>
      <c r="ES79" s="65">
        <f>HostBuild[Software Costs
'[Year 1']
(Monthly)]+HostBuild[Total Hardware Costs
(Monthly)]</f>
        <v>92.780312500000008</v>
      </c>
      <c r="ET79" s="65">
        <f>IFERROR(IF(FIND("Safenet",HostBuild[Server Model]),Safenet_PSE_PL600_Maint,0),0)+IFERROR(IF(FIND("XI52",HostBuild[Server Model]),IBM_DIA_XI52_Maint,0),0)+HostBuild[Software Costs
'[After Year 1']
(Monthly)]+HostBuild[Total Hardware Costs
(Monthly)]</f>
        <v>92.780312500000008</v>
      </c>
      <c r="EU79" s="66">
        <f>SUM(HostBuild[[#This Row],[Server Cost Breakdown]:[Network Cost]])</f>
        <v>0</v>
      </c>
      <c r="EV79" s="67">
        <f>IF(HostBuild[Existing Server?]="Yes - Inside this BoM",0,SUMIF(HostBuild[Alias],HostBuild[Alias],HostBuild[CPU])+SUMIF(HostBuild[Alias],HostBuild[Alias],HostBuild[Existing CPUs]))</f>
        <v>0</v>
      </c>
      <c r="EW79" s="67">
        <f>IF(HostBuild[Existing Server?]="Yes - Inside this BoM",0,SUMIF(HostBuild[Alias],HostBuild[Alias],HostBuild[Cores 
(Licensed Units)])+SUMIF(HostBuild[Alias],HostBuild[Alias],HostBuild[Existing Cores]))</f>
        <v>0</v>
      </c>
      <c r="EX79" s="67">
        <f>IF(HostBuild[Existing Server?]="Yes - Inside this BoM",0,SUMIF(HostBuild[Alias],HostBuild[Alias],HostBuild[RAM 
(GB)])+SUMIF(HostBuild[Alias],HostBuild[Alias],HostBuild[Existing RAM (GB)]))</f>
        <v>0</v>
      </c>
      <c r="EY7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7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7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7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79" s="66">
        <f>IF(ISBLANK(HostBuild[Server Model]),0,IF(HostBuild[Server Tier]="VMware",0,VLOOKUP(HostBuild[Server Tier],[1]!ServerTierRates[#Data],2,0))*HostBuild[CPU]*IF(AND(HostBuild[Server Type]="pSeries",HostBuild[Virtual Platform Storage Type]="Cloud-SAN"),0.25,1))</f>
        <v>0</v>
      </c>
      <c r="FD79" s="66">
        <f>0</f>
        <v>0</v>
      </c>
      <c r="FE79" s="66">
        <f>IF(HostBuild[Server Type]="VMware",HostBuild[RAM 
(GB)]*IF(ISERROR(FIND("DevCloud", HostBuild[Server Model])&gt;0),vRAM_per_vCPU_2014_Monthly,vRAM_per_vCPU_2014_Daily*30),0)</f>
        <v>0</v>
      </c>
      <c r="FF7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7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79" s="69">
        <f>IF(HostBuild[Server Tier]="VMware",0,IF(LEFT(HostBuild[Existing Server?],3)="Yes",0,IF(OR(HostBuild[Server Type]="Sun",HostBuild[Server Type]="pSeries"),Support_Direct_Server_Sun_per_OS_2014,IF(HostBuild[Server Type]="x86",Support_Direct_Server_x86_Wintel_per_OS_2014,0))))</f>
        <v>0</v>
      </c>
      <c r="FI7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0" spans="1:165" hidden="1">
      <c r="A80" s="122" t="s">
        <v>53</v>
      </c>
      <c r="B80" s="36"/>
      <c r="C80" s="36"/>
      <c r="D80" s="36"/>
      <c r="E80" s="37"/>
      <c r="F80" s="37"/>
      <c r="G80" s="103"/>
      <c r="H80" s="103"/>
      <c r="I80" s="38"/>
      <c r="J80" s="37"/>
      <c r="K80" s="37"/>
      <c r="L80" s="37"/>
      <c r="M80" s="103" t="e">
        <f ca="1">IF(rngIsDate(HostBuild[CTO Acceptance]),"Y","N")</f>
        <v>#NAME?</v>
      </c>
      <c r="N80" s="123" t="s">
        <v>3</v>
      </c>
      <c r="O80" s="39"/>
      <c r="P80" s="39"/>
      <c r="Q80" s="123" t="s">
        <v>1</v>
      </c>
      <c r="R80" s="126" t="str">
        <f>IF(NOT(ISBLANK(HostBuild[Env Label])),IFERROR(VLOOKUP(HostBuild[Env Label],[1]!tEnv[#Data],3,FALSE),""),"")</f>
        <v/>
      </c>
      <c r="S80" s="104"/>
      <c r="T80" s="40"/>
      <c r="U80" s="105"/>
      <c r="V80" s="123" t="s">
        <v>82</v>
      </c>
      <c r="W80" s="123" t="s">
        <v>83</v>
      </c>
      <c r="X80" s="123" t="s">
        <v>57</v>
      </c>
      <c r="Y80" s="123" t="s">
        <v>58</v>
      </c>
      <c r="Z80" s="126" t="str">
        <f>IF(NOT(ISBLANK(HostBuild[[#This Row],[Product 
(Acronym)]])),CONCATENATE(HostBuild[[#This Row],[Type]],"-",HostBuild[[#This Row],[Product 
(Acronym)]]),"")</f>
        <v>AP-ESB</v>
      </c>
      <c r="AA80" s="106"/>
      <c r="AB80" s="106" t="s">
        <v>171</v>
      </c>
      <c r="AC80" s="41"/>
      <c r="AD80" s="42"/>
      <c r="AE80" s="42"/>
      <c r="AF80" s="43"/>
      <c r="AG80" s="124"/>
      <c r="AH80" s="107"/>
      <c r="AI80" s="124" t="s">
        <v>163</v>
      </c>
      <c r="AJ80" s="123">
        <f>IF(COUNTIF(HostBuild[Alias],HostBuild[Alias]),1/COUNTIF(HostBuild[Alias],HostBuild[Alias]),0)</f>
        <v>1</v>
      </c>
      <c r="AK80" s="124"/>
      <c r="AL80" s="124"/>
      <c r="AM80" s="44" t="s">
        <v>62</v>
      </c>
      <c r="AN80" s="45" t="str">
        <f>IF(NOT(ISBLANK(HostBuild[Server Model])),VLOOKUP(HostBuild[Server Model],[1]!ServerModelsTier[#Data],2,FALSE),"")</f>
        <v>x86 Tier 3</v>
      </c>
      <c r="AO80" s="45" t="str">
        <f>IF(NOT(ISBLANK(HostBuild[Server Model])),VLOOKUP(HostBuild[Server Model],[1]!ServerModelsTier[#Data],5,FALSE),"")</f>
        <v>x86</v>
      </c>
      <c r="AP80" s="44"/>
      <c r="AQ80" s="44" t="s">
        <v>63</v>
      </c>
      <c r="AR80" s="46"/>
      <c r="AS80" s="108"/>
      <c r="AT80" s="47">
        <v>16</v>
      </c>
      <c r="AU80" s="109" t="str">
        <f>IF(IFERROR(FIND("P-Series",HostBuild[Server Tier]),0),CEILING((HostBuild[Existing CPUs]+HostBuild[CPU])*16,8),"")</f>
        <v/>
      </c>
      <c r="AV80" s="48"/>
      <c r="AW80" s="124"/>
      <c r="AX80" s="124"/>
      <c r="AY80" s="124"/>
      <c r="AZ80" s="49"/>
      <c r="BA80" s="124"/>
      <c r="BB80" s="124"/>
      <c r="BC80" s="42"/>
      <c r="BD80" s="124"/>
      <c r="BE80" s="124"/>
      <c r="BF80" s="124"/>
      <c r="BG80" s="124"/>
      <c r="BH80" s="124"/>
      <c r="BI80" s="124"/>
      <c r="BJ80" s="124"/>
      <c r="BK80"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80" s="127">
        <v>150</v>
      </c>
      <c r="BM80" s="129">
        <f>IF(ISNUMBER(HostBuild[Recommended SAN (GB)]),HostBuild[Recommended SAN (GB)])+IF(HostBuild[Additional SAN (GB)]&gt;0,CEILING(HostBuild[Additional SAN (GB)],LUN),-(CEILING(-HostBuild[Additional SAN (GB)],LUN)))</f>
        <v>168.5</v>
      </c>
      <c r="BN80" s="128"/>
      <c r="BO80" s="129">
        <f>HostBuild[SAN (GB)
NEEDED TODAY]+CEILING(HostBuild[SAN (GB)
RESERVED
DO NOT USE TO BUILD], LUN)</f>
        <v>168.5</v>
      </c>
      <c r="BP80" s="130"/>
      <c r="BQ80" s="131"/>
      <c r="BR80" s="125" t="s">
        <v>76</v>
      </c>
      <c r="BS80" s="110">
        <f>IF(HostBuild[Existing Server?]&lt;&gt;"Yes - Inside this BoM",IF(ISNUMBER(HostBuild[RAM 
(GB)]),IF(HostBuild[Existing RAM (GB)]+HostBuild[RAM 
(GB)]&gt;0,IF(HostBuild[Virtual Platform Storage Type]="NAS",110+HostBuild[Existing RAM (GB)]+HostBuild[RAM 
(GB)]*1.75,0),0),0),0)</f>
        <v>0</v>
      </c>
      <c r="BT80" s="111"/>
      <c r="BU80" s="112">
        <f>IF(ISNUMBER(HostBuild[Recommended NAS (GB)]),HostBuild[Recommended NAS (GB)])+HostBuild[Additional NAS (GB)]</f>
        <v>0</v>
      </c>
      <c r="BV80" s="50"/>
      <c r="BW80" s="50"/>
      <c r="BX80" s="133">
        <f>IFERROR((HostBuild[SAN (GB)
End-State
DO NOT USE TO BUILD]+HostBuild[SAN (GB) Shared])*25%,"")</f>
        <v>42.125</v>
      </c>
      <c r="BY80" s="113">
        <f>IFERROR(HostBuild[Archive
Full (GB)]*15%,"")</f>
        <v>6.3187499999999996</v>
      </c>
      <c r="BZ80" s="51"/>
      <c r="CA80" s="51"/>
      <c r="CB80" s="52"/>
      <c r="CC80" s="53"/>
      <c r="CD80" s="52"/>
      <c r="CE80" s="54"/>
      <c r="CF80" s="128"/>
      <c r="CG80" s="114"/>
      <c r="CH80" s="55"/>
      <c r="CI80" s="56"/>
      <c r="CJ80" s="57" t="s">
        <v>85</v>
      </c>
      <c r="CK80" s="58"/>
      <c r="CL80" s="59">
        <f>IFERROR(IF(FIND(CL$1,$W80)&gt;0,IF(INDEX([1]!Product_Pricing_Table[#Data],MATCH(CL$1,Products,0),2)="Cores",IF(HostBuild[Use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0" s="59">
        <f>IFERROR(IF(FIND(CM$1,$W80)&gt;0,IF(INDEX([1]!Product_Pricing_Table[#Data],MATCH(CM$1,Products,0),2)="Cores",IF(HostBuild[Use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0" s="59">
        <f>IFERROR(IF(FIND(CN$1,$W80)&gt;0,IF(INDEX([1]!Product_Pricing_Table[#Data],MATCH(CN$1,Products,0),2)="Cores",IF(HostBuild[Use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0" s="59">
        <f>IFERROR(IF(FIND(CO$1,$W80)&gt;0,IF(INDEX([1]!Product_Pricing_Table[#Data],MATCH(CO$1,Products,0),2)="Cores",IF(HostBuild[Use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0" s="59">
        <f>IFERROR(IF(FIND(CP$1,$W80)&gt;0,IF(INDEX([1]!Product_Pricing_Table[#Data],MATCH(CP$1,Products,0),2)="Cores",IF(HostBuild[Use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0" s="59">
        <f>IFERROR(IF(FIND(CQ$1,$W80)&gt;0,IF(INDEX([1]!Product_Pricing_Table[#Data],MATCH(CQ$1,Products,0),2)="Cores",IF(HostBuild[Use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0" s="59">
        <f>IFERROR(IF(FIND(CR$1,$W80)&gt;0,IF(INDEX([1]!Product_Pricing_Table[#Data],MATCH(CR$1,Products,0),2)="Cores",IF(HostBuild[Use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0" s="59">
        <f>IFERROR(IF(FIND(CS$1,$W80)&gt;0,IF(INDEX([1]!Product_Pricing_Table[#Data],MATCH(CS$1,Products,0),2)="Cores",IF(HostBuild[Use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0" s="59">
        <f>IFERROR(IF(FIND(CT$1,$W80)&gt;0,IF(INDEX([1]!Product_Pricing_Table[#Data],MATCH(CT$1,Products,0),2)="Cores",IF(HostBuild[Use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0" s="59">
        <f>IFERROR(IF(FIND(CU$1,$W80)&gt;0,IF(INDEX([1]!Product_Pricing_Table[#Data],MATCH(CU$1,Products,0),2)="Cores",IF(HostBuild[Use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0" s="59">
        <f>IFERROR(IF(FIND(CV$1,$W80)&gt;0,IF(INDEX([1]!Product_Pricing_Table[#Data],MATCH(CV$1,Products,0),2)="Cores",IF(HostBuild[Use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0" s="59">
        <f>IFERROR(IF(FIND(CW$1,$W80)&gt;0,IF(INDEX([1]!Product_Pricing_Table[#Data],MATCH(CW$1,Products,0),2)="Cores",IF(HostBuild[Use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0" s="59">
        <f>IFERROR(IF(FIND(CX$1,$W80)&gt;0,IF(INDEX([1]!Product_Pricing_Table[#Data],MATCH(CX$1,Products,0),2)="Cores",IF(HostBuild[Use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0" s="59">
        <f>IFERROR(IF(FIND(CY$1,$W80)&gt;0,IF(INDEX([1]!Product_Pricing_Table[#Data],MATCH(CY$1,Products,0),2)="Cores",IF(HostBuild[Use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0" s="59">
        <f>IFERROR(IF(FIND(CZ$1,$W80)&gt;0,IF(INDEX([1]!Product_Pricing_Table[#Data],MATCH(CZ$1,Products,0),2)="Cores",IF(HostBuild[Use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0" s="59">
        <f>IFERROR(IF(FIND(DA$1,$W80)&gt;0,IF(INDEX([1]!Product_Pricing_Table[#Data],MATCH(DA$1,Products,0),2)="Cores",IF(HostBuild[Use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0" s="59">
        <f>IFERROR(IF(FIND(DB$1,$W80)&gt;0,IF(INDEX([1]!Product_Pricing_Table[#Data],MATCH(DB$1,Products,0),2)="Cores",IF(HostBuild[Use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0" s="59">
        <f>IFERROR(IF(FIND(DC$1,$W80)&gt;0,IF(INDEX([1]!Product_Pricing_Table[#Data],MATCH(DC$1,Products,0),2)="Cores",IF(HostBuild[Use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0" s="59">
        <f>IFERROR(IF(FIND(DD$1,$W80)&gt;0,IF(INDEX([1]!Product_Pricing_Table[#Data],MATCH(DD$1,Products,0),2)="Cores",IF(HostBuild[Use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0" s="59">
        <f>IFERROR(IF(FIND(DE$1,$W80)&gt;0,IF(INDEX([1]!Product_Pricing_Table[#Data],MATCH(DE$1,Products,0),2)="Cores",IF(HostBuild[Use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0" s="60">
        <f>IFERROR(IF(FIND(DF$1,$W80)&gt;0,IF(INDEX([1]!Product_Pricing_Table[#Data],MATCH(DF$1,Products,0),2)="Cores",IF(HostBuild[Use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0" s="60">
        <f>IFERROR(IF(FIND(DG$1,$W80)&gt;0,IF(INDEX([1]!Product_Pricing_Table[#Data],MATCH(DG$1,Products,0),2)="Cores",IF(HostBuild[Use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0" s="59">
        <f>IFERROR(IF(FIND(DH$1,$W80)&gt;0,IF(INDEX([1]!Product_Pricing_Table[#Data],MATCH(DH$1,Products,0),2)="Cores",IF(HostBuild[Use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0" s="60">
        <f>IFERROR(IF(FIND(DI$1,$W80)&gt;0,IF(INDEX([1]!Product_Pricing_Table[#Data],MATCH(DI$1,Products,0),2)="Cores",IF(HostBuild[Use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0" s="59">
        <f>IFERROR(IF(FIND(DJ$1,$W80)&gt;0,IF(INDEX([1]!Product_Pricing_Table[#Data],MATCH(DJ$1,Products,0),2)="Cores",IF(HostBuild[Use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0" s="59">
        <f>IFERROR(IF(FIND(DK$1,$W80)&gt;0,IF(INDEX([1]!Product_Pricing_Table[#Data],MATCH(DK$1,Products,0),2)="Cores",IF(HostBuild[Use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0" s="59">
        <f>IFERROR(IF(FIND(DL$1,$W80)&gt;0,IF(INDEX([1]!Product_Pricing_Table[#Data],MATCH(DL$1,Products,0),2)="Cores",IF(HostBuild[Use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0" s="59">
        <f>IFERROR(IF(FIND(DM$1,$W80)&gt;0,IF(INDEX([1]!Product_Pricing_Table[#Data],MATCH(DM$1,Products,0),2)="Cores",IF(HostBuild[Use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0" s="59">
        <f>IFERROR(IF(FIND(DN$1,$W80)&gt;0,IF(INDEX([1]!Product_Pricing_Table[#Data],MATCH(DN$1,Products,0),2)="Cores",IF(HostBuild[Use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0" s="59">
        <f>IFERROR(IF(FIND(DO$1,$W80)&gt;0,IF(INDEX([1]!Product_Pricing_Table[#Data],MATCH(DO$1,Products,0),2)="Cores",IF(HostBuild[Use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0" s="59">
        <f>IFERROR(IF(FIND(DP$1,$W80)&gt;0,IF(INDEX([1]!Product_Pricing_Table[#Data],MATCH(DP$1,Products,0),2)="Cores",IF(HostBuild[Use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0" s="59">
        <f>IFERROR(IF(FIND(DQ$1,$W80)&gt;0,IF(INDEX([1]!Product_Pricing_Table[#Data],MATCH(DQ$1,Products,0),2)="Cores",IF(HostBuild[Use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0" s="59">
        <f>IFERROR(IF(FIND(DR$1,$W80)&gt;0,IF(INDEX([1]!Product_Pricing_Table[#Data],MATCH(DR$1,Products,0),2)="Cores",IF(HostBuild[Use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0" s="59">
        <f>IFERROR(IF(FIND(DS$1,$W80)&gt;0,IF(INDEX([1]!Product_Pricing_Table[#Data],MATCH(DS$1,Products,0),2)="Cores",IF(HostBuild[Use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0" s="59">
        <f>IFERROR(IF(FIND(DT$1,$W80)&gt;0,IF(INDEX([1]!Product_Pricing_Table[#Data],MATCH(DT$1,Products,0),2)="Cores",IF(HostBuild[Use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0" s="59">
        <f>IFERROR(IF(FIND(DU$1,$W80)&gt;0,IF(INDEX([1]!Product_Pricing_Table[#Data],MATCH(DU$1,Products,0),2)="Cores",IF(HostBuild[Use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0" s="59">
        <f>IFERROR(IF(FIND(DV$1,$W80)&gt;0,IF(INDEX([1]!Product_Pricing_Table[#Data],MATCH(DV$1,Products,0),2)="Cores",IF(HostBuild[Use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0" s="59">
        <f>IFERROR(IF(FIND(DW$1,$W80)&gt;0,IF(INDEX([1]!Product_Pricing_Table[#Data],MATCH(DW$1,Products,0),2)="Cores",IF(HostBuild[Use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0" s="59">
        <f>IFERROR(IF(FIND(DX$1,$W80)&gt;0,IF(INDEX([1]!Product_Pricing_Table[#Data],MATCH(DX$1,Products,0),2)="Cores",IF(HostBuild[Use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0" s="59">
        <f>IFERROR(IF(FIND(DY$1,$W80)&gt;0,IF(INDEX([1]!Product_Pricing_Table[#Data],MATCH(DY$1,Products,0),2)="Cores",IF(HostBuild[Use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0" s="59">
        <f>IFERROR(IF(FIND(DZ$1,$W80)&gt;0,IF(INDEX([1]!Product_Pricing_Table[#Data],MATCH(DZ$1,Products,0),2)="Cores",IF(HostBuild[Use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0" s="59">
        <f>IFERROR(IF(FIND(EA$1,$W80)&gt;0,IF(INDEX([1]!Product_Pricing_Table[#Data],MATCH(EA$1,Products,0),2)="Cores",IF(HostBuild[Use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0" s="59">
        <f>IFERROR(IF(FIND(EB$1,$W80)&gt;0,IF(INDEX([1]!Product_Pricing_Table[#Data],MATCH(EB$1,Products,0),2)="Cores",IF(HostBuild[Use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0" s="60">
        <f>IFERROR(IF(FIND(EC$1,$W80)&gt;0,IF(INDEX([1]!Product_Pricing_Table[#Data],MATCH(EC$1,Products,0),2)="Cores",IF(HostBuild[Use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0" s="59">
        <f>IFERROR(IF(FIND(ED$1,$W80)&gt;0,IF(INDEX([1]!Product_Pricing_Table[#Data],MATCH(ED$1,Products,0),2)="Cores",IF(HostBuild[Use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0" s="59">
        <f>IFERROR(IF(FIND(EE$1,$W80)&gt;0,IF(INDEX([1]!Product_Pricing_Table[#Data],MATCH(EE$1,Products,0),2)="Cores",IF(HostBuild[Use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0" s="59">
        <f>IFERROR(IF(FIND(EF$1,$W80)&gt;0,IF(INDEX([1]!Product_Pricing_Table[#Data],MATCH(EF$1,Products,0),2)="Cores",IF(HostBuild[Use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0" s="59">
        <f>IFERROR(IF(FIND(EG$1,$W80)&gt;0,IF(INDEX([1]!Product_Pricing_Table[#Data],MATCH(EG$1,Products,0),2)="Cores",IF(HostBuild[Use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0" s="59">
        <f>IFERROR(IF(FIND(EH$1,$W80)&gt;0,IF(INDEX([1]!Product_Pricing_Table[#Data],MATCH(EH$1,Products,0),2)="Cores",IF(HostBuild[Use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80" s="59">
        <f>IFERROR(IF(FIND(EI$1,$W80)&gt;0,IF(INDEX([1]!Product_Pricing_Table[#Data],MATCH(EI$1,Products,0),2)="Cores",IF(HostBuild[Use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0" s="59">
        <f>IFERROR(IF(FIND(EJ$1,$W80)&gt;0,IF(INDEX([1]!Product_Pricing_Table[#Data],MATCH(EJ$1,Products,0),2)="Cores",IF(HostBuild[Use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0" s="60">
        <f>IFERROR(IF(FIND(EK$1,$W80)&gt;0,IF(INDEX([1]!Product_Pricing_Table[#Data],MATCH(EK$1,Products,0),2)="Cores",IF(HostBuild[Use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0" s="61"/>
      <c r="EM80" s="62">
        <v>0</v>
      </c>
      <c r="EN80" s="63">
        <v>0</v>
      </c>
      <c r="EO80"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8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0" s="132">
        <f>(HostBuild[Archive
Full (GB)]+HostBuild[Archive
Incr (GB)])*Storage_DC_Dist_Tape_2014</f>
        <v>16.955312499999998</v>
      </c>
      <c r="ER80" s="132">
        <f>IF(ISNUMBER(HostBuild[Server HW Costs
(Monthly)]),SUM(HostBuild[[#This Row],[Server HW Costs
(Monthly)]:[Tape Costs
(Monthly)]]),0)</f>
        <v>92.780312500000008</v>
      </c>
      <c r="ES80" s="65">
        <f>HostBuild[Software Costs
'[Year 1']
(Monthly)]+HostBuild[Total Hardware Costs
(Monthly)]</f>
        <v>92.780312500000008</v>
      </c>
      <c r="ET80" s="65">
        <f>IFERROR(IF(FIND("Safenet",HostBuild[Server Model]),Safenet_PSE_PL600_Maint,0),0)+IFERROR(IF(FIND("XI52",HostBuild[Server Model]),IBM_DIA_XI52_Maint,0),0)+HostBuild[Software Costs
'[After Year 1']
(Monthly)]+HostBuild[Total Hardware Costs
(Monthly)]</f>
        <v>92.780312500000008</v>
      </c>
      <c r="EU80" s="66">
        <f>SUM(HostBuild[[#This Row],[Server Cost Breakdown]:[Network Cost]])</f>
        <v>0</v>
      </c>
      <c r="EV80" s="67">
        <f>IF(HostBuild[Existing Server?]="Yes - Inside this BoM",0,SUMIF(HostBuild[Alias],HostBuild[Alias],HostBuild[CPU])+SUMIF(HostBuild[Alias],HostBuild[Alias],HostBuild[Existing CPUs]))</f>
        <v>0</v>
      </c>
      <c r="EW80" s="67">
        <f>IF(HostBuild[Existing Server?]="Yes - Inside this BoM",0,SUMIF(HostBuild[Alias],HostBuild[Alias],HostBuild[Cores 
(Licensed Units)])+SUMIF(HostBuild[Alias],HostBuild[Alias],HostBuild[Existing Cores]))</f>
        <v>0</v>
      </c>
      <c r="EX80" s="67">
        <f>IF(HostBuild[Existing Server?]="Yes - Inside this BoM",0,SUMIF(HostBuild[Alias],HostBuild[Alias],HostBuild[RAM 
(GB)])+SUMIF(HostBuild[Alias],HostBuild[Alias],HostBuild[Existing RAM (GB)]))</f>
        <v>0</v>
      </c>
      <c r="EY8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0" s="66">
        <f>IF(ISBLANK(HostBuild[Server Model]),0,IF(HostBuild[Server Tier]="VMware",0,VLOOKUP(HostBuild[Server Tier],[1]!ServerTierRates[#Data],2,0))*HostBuild[CPU]*IF(AND(HostBuild[Server Type]="pSeries",HostBuild[Virtual Platform Storage Type]="Cloud-SAN"),0.25,1))</f>
        <v>0</v>
      </c>
      <c r="FD80" s="66">
        <f>0</f>
        <v>0</v>
      </c>
      <c r="FE80" s="66">
        <f>IF(HostBuild[Server Type]="VMware",HostBuild[RAM 
(GB)]*IF(ISERROR(FIND("DevCloud", HostBuild[Server Model])&gt;0),vRAM_per_vCPU_2014_Monthly,vRAM_per_vCPU_2014_Daily*30),0)</f>
        <v>0</v>
      </c>
      <c r="FF8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0" s="69">
        <f>IF(HostBuild[Server Tier]="VMware",0,IF(LEFT(HostBuild[Existing Server?],3)="Yes",0,IF(OR(HostBuild[Server Type]="Sun",HostBuild[Server Type]="pSeries"),Support_Direct_Server_Sun_per_OS_2014,IF(HostBuild[Server Type]="x86",Support_Direct_Server_x86_Wintel_per_OS_2014,0))))</f>
        <v>0</v>
      </c>
      <c r="FI8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1" spans="1:165" hidden="1">
      <c r="A81" s="122" t="s">
        <v>53</v>
      </c>
      <c r="B81" s="36"/>
      <c r="C81" s="36"/>
      <c r="D81" s="36"/>
      <c r="E81" s="37"/>
      <c r="F81" s="37"/>
      <c r="G81" s="103"/>
      <c r="H81" s="103"/>
      <c r="I81" s="38"/>
      <c r="J81" s="37"/>
      <c r="K81" s="37"/>
      <c r="L81" s="37"/>
      <c r="M81" s="103" t="e">
        <f ca="1">IF(rngIsDate(HostBuild[CTO Acceptance]),"Y","N")</f>
        <v>#NAME?</v>
      </c>
      <c r="N81" s="123" t="s">
        <v>3</v>
      </c>
      <c r="O81" s="39"/>
      <c r="P81" s="39"/>
      <c r="Q81" s="123" t="s">
        <v>1</v>
      </c>
      <c r="R81" s="126" t="str">
        <f>IF(NOT(ISBLANK(HostBuild[Env Label])),IFERROR(VLOOKUP(HostBuild[Env Label],[1]!tEnv[#Data],3,FALSE),""),"")</f>
        <v/>
      </c>
      <c r="S81" s="104"/>
      <c r="T81" s="40"/>
      <c r="U81" s="105"/>
      <c r="V81" s="123" t="s">
        <v>82</v>
      </c>
      <c r="W81" s="123" t="s">
        <v>83</v>
      </c>
      <c r="X81" s="123" t="s">
        <v>57</v>
      </c>
      <c r="Y81" s="123" t="s">
        <v>58</v>
      </c>
      <c r="Z81" s="126" t="str">
        <f>IF(NOT(ISBLANK(HostBuild[[#This Row],[Product 
(Acronym)]])),CONCATENATE(HostBuild[[#This Row],[Type]],"-",HostBuild[[#This Row],[Product 
(Acronym)]]),"")</f>
        <v>AP-ESB</v>
      </c>
      <c r="AA81" s="106"/>
      <c r="AB81" s="106" t="s">
        <v>171</v>
      </c>
      <c r="AC81" s="41"/>
      <c r="AD81" s="42"/>
      <c r="AE81" s="42"/>
      <c r="AF81" s="43"/>
      <c r="AG81" s="124"/>
      <c r="AH81" s="107"/>
      <c r="AI81" s="124" t="s">
        <v>164</v>
      </c>
      <c r="AJ81" s="123">
        <f>IF(COUNTIF(HostBuild[Alias],HostBuild[Alias]),1/COUNTIF(HostBuild[Alias],HostBuild[Alias]),0)</f>
        <v>1</v>
      </c>
      <c r="AK81" s="124"/>
      <c r="AL81" s="124"/>
      <c r="AM81" s="44" t="s">
        <v>62</v>
      </c>
      <c r="AN81" s="45" t="str">
        <f>IF(NOT(ISBLANK(HostBuild[Server Model])),VLOOKUP(HostBuild[Server Model],[1]!ServerModelsTier[#Data],2,FALSE),"")</f>
        <v>x86 Tier 3</v>
      </c>
      <c r="AO81" s="45" t="str">
        <f>IF(NOT(ISBLANK(HostBuild[Server Model])),VLOOKUP(HostBuild[Server Model],[1]!ServerModelsTier[#Data],5,FALSE),"")</f>
        <v>x86</v>
      </c>
      <c r="AP81" s="44"/>
      <c r="AQ81" s="44" t="s">
        <v>63</v>
      </c>
      <c r="AR81" s="46"/>
      <c r="AS81" s="108"/>
      <c r="AT81" s="47">
        <v>16</v>
      </c>
      <c r="AU81" s="109" t="str">
        <f>IF(IFERROR(FIND("P-Series",HostBuild[Server Tier]),0),CEILING((HostBuild[Existing CPUs]+HostBuild[CPU])*16,8),"")</f>
        <v/>
      </c>
      <c r="AV81" s="48"/>
      <c r="AW81" s="124"/>
      <c r="AX81" s="124"/>
      <c r="AY81" s="124"/>
      <c r="AZ81" s="49"/>
      <c r="BA81" s="124"/>
      <c r="BB81" s="124"/>
      <c r="BC81" s="42"/>
      <c r="BD81" s="124"/>
      <c r="BE81" s="124"/>
      <c r="BF81" s="124"/>
      <c r="BG81" s="124"/>
      <c r="BH81" s="124"/>
      <c r="BI81" s="124"/>
      <c r="BJ81" s="124"/>
      <c r="BK81"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81" s="127">
        <v>150</v>
      </c>
      <c r="BM81" s="129">
        <f>IF(ISNUMBER(HostBuild[Recommended SAN (GB)]),HostBuild[Recommended SAN (GB)])+IF(HostBuild[Additional SAN (GB)]&gt;0,CEILING(HostBuild[Additional SAN (GB)],LUN),-(CEILING(-HostBuild[Additional SAN (GB)],LUN)))</f>
        <v>168.5</v>
      </c>
      <c r="BN81" s="128"/>
      <c r="BO81" s="129">
        <f>HostBuild[SAN (GB)
NEEDED TODAY]+CEILING(HostBuild[SAN (GB)
RESERVED
DO NOT USE TO BUILD], LUN)</f>
        <v>168.5</v>
      </c>
      <c r="BP81" s="130"/>
      <c r="BQ81" s="131"/>
      <c r="BR81" s="125" t="s">
        <v>76</v>
      </c>
      <c r="BS81" s="110">
        <f>IF(HostBuild[Existing Server?]&lt;&gt;"Yes - Inside this BoM",IF(ISNUMBER(HostBuild[RAM 
(GB)]),IF(HostBuild[Existing RAM (GB)]+HostBuild[RAM 
(GB)]&gt;0,IF(HostBuild[Virtual Platform Storage Type]="NAS",110+HostBuild[Existing RAM (GB)]+HostBuild[RAM 
(GB)]*1.75,0),0),0),0)</f>
        <v>0</v>
      </c>
      <c r="BT81" s="111"/>
      <c r="BU81" s="112">
        <f>IF(ISNUMBER(HostBuild[Recommended NAS (GB)]),HostBuild[Recommended NAS (GB)])+HostBuild[Additional NAS (GB)]</f>
        <v>0</v>
      </c>
      <c r="BV81" s="50"/>
      <c r="BW81" s="50"/>
      <c r="BX81" s="133">
        <f>IFERROR((HostBuild[SAN (GB)
End-State
DO NOT USE TO BUILD]+HostBuild[SAN (GB) Shared])*25%,"")</f>
        <v>42.125</v>
      </c>
      <c r="BY81" s="113">
        <f>IFERROR(HostBuild[Archive
Full (GB)]*15%,"")</f>
        <v>6.3187499999999996</v>
      </c>
      <c r="BZ81" s="51"/>
      <c r="CA81" s="51"/>
      <c r="CB81" s="52"/>
      <c r="CC81" s="53"/>
      <c r="CD81" s="52"/>
      <c r="CE81" s="54"/>
      <c r="CF81" s="128"/>
      <c r="CG81" s="114"/>
      <c r="CH81" s="55"/>
      <c r="CI81" s="56"/>
      <c r="CJ81" s="57" t="s">
        <v>85</v>
      </c>
      <c r="CK81" s="58"/>
      <c r="CL81" s="59">
        <f>IFERROR(IF(FIND(CL$1,$W81)&gt;0,IF(INDEX([1]!Product_Pricing_Table[#Data],MATCH(CL$1,Products,0),2)="Cores",IF(HostBuild[Use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1" s="59">
        <f>IFERROR(IF(FIND(CM$1,$W81)&gt;0,IF(INDEX([1]!Product_Pricing_Table[#Data],MATCH(CM$1,Products,0),2)="Cores",IF(HostBuild[Use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1" s="59">
        <f>IFERROR(IF(FIND(CN$1,$W81)&gt;0,IF(INDEX([1]!Product_Pricing_Table[#Data],MATCH(CN$1,Products,0),2)="Cores",IF(HostBuild[Use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1" s="59">
        <f>IFERROR(IF(FIND(CO$1,$W81)&gt;0,IF(INDEX([1]!Product_Pricing_Table[#Data],MATCH(CO$1,Products,0),2)="Cores",IF(HostBuild[Use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1" s="59">
        <f>IFERROR(IF(FIND(CP$1,$W81)&gt;0,IF(INDEX([1]!Product_Pricing_Table[#Data],MATCH(CP$1,Products,0),2)="Cores",IF(HostBuild[Use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1" s="59">
        <f>IFERROR(IF(FIND(CQ$1,$W81)&gt;0,IF(INDEX([1]!Product_Pricing_Table[#Data],MATCH(CQ$1,Products,0),2)="Cores",IF(HostBuild[Use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1" s="59">
        <f>IFERROR(IF(FIND(CR$1,$W81)&gt;0,IF(INDEX([1]!Product_Pricing_Table[#Data],MATCH(CR$1,Products,0),2)="Cores",IF(HostBuild[Use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1" s="59">
        <f>IFERROR(IF(FIND(CS$1,$W81)&gt;0,IF(INDEX([1]!Product_Pricing_Table[#Data],MATCH(CS$1,Products,0),2)="Cores",IF(HostBuild[Use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1" s="59">
        <f>IFERROR(IF(FIND(CT$1,$W81)&gt;0,IF(INDEX([1]!Product_Pricing_Table[#Data],MATCH(CT$1,Products,0),2)="Cores",IF(HostBuild[Use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1" s="59">
        <f>IFERROR(IF(FIND(CU$1,$W81)&gt;0,IF(INDEX([1]!Product_Pricing_Table[#Data],MATCH(CU$1,Products,0),2)="Cores",IF(HostBuild[Use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1" s="59">
        <f>IFERROR(IF(FIND(CV$1,$W81)&gt;0,IF(INDEX([1]!Product_Pricing_Table[#Data],MATCH(CV$1,Products,0),2)="Cores",IF(HostBuild[Use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1" s="59">
        <f>IFERROR(IF(FIND(CW$1,$W81)&gt;0,IF(INDEX([1]!Product_Pricing_Table[#Data],MATCH(CW$1,Products,0),2)="Cores",IF(HostBuild[Use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1" s="59">
        <f>IFERROR(IF(FIND(CX$1,$W81)&gt;0,IF(INDEX([1]!Product_Pricing_Table[#Data],MATCH(CX$1,Products,0),2)="Cores",IF(HostBuild[Use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1" s="59">
        <f>IFERROR(IF(FIND(CY$1,$W81)&gt;0,IF(INDEX([1]!Product_Pricing_Table[#Data],MATCH(CY$1,Products,0),2)="Cores",IF(HostBuild[Use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1" s="59">
        <f>IFERROR(IF(FIND(CZ$1,$W81)&gt;0,IF(INDEX([1]!Product_Pricing_Table[#Data],MATCH(CZ$1,Products,0),2)="Cores",IF(HostBuild[Use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1" s="59">
        <f>IFERROR(IF(FIND(DA$1,$W81)&gt;0,IF(INDEX([1]!Product_Pricing_Table[#Data],MATCH(DA$1,Products,0),2)="Cores",IF(HostBuild[Use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1" s="59">
        <f>IFERROR(IF(FIND(DB$1,$W81)&gt;0,IF(INDEX([1]!Product_Pricing_Table[#Data],MATCH(DB$1,Products,0),2)="Cores",IF(HostBuild[Use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1" s="59">
        <f>IFERROR(IF(FIND(DC$1,$W81)&gt;0,IF(INDEX([1]!Product_Pricing_Table[#Data],MATCH(DC$1,Products,0),2)="Cores",IF(HostBuild[Use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1" s="59">
        <f>IFERROR(IF(FIND(DD$1,$W81)&gt;0,IF(INDEX([1]!Product_Pricing_Table[#Data],MATCH(DD$1,Products,0),2)="Cores",IF(HostBuild[Use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1" s="59">
        <f>IFERROR(IF(FIND(DE$1,$W81)&gt;0,IF(INDEX([1]!Product_Pricing_Table[#Data],MATCH(DE$1,Products,0),2)="Cores",IF(HostBuild[Use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1" s="60">
        <f>IFERROR(IF(FIND(DF$1,$W81)&gt;0,IF(INDEX([1]!Product_Pricing_Table[#Data],MATCH(DF$1,Products,0),2)="Cores",IF(HostBuild[Use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1" s="60">
        <f>IFERROR(IF(FIND(DG$1,$W81)&gt;0,IF(INDEX([1]!Product_Pricing_Table[#Data],MATCH(DG$1,Products,0),2)="Cores",IF(HostBuild[Use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1" s="59">
        <f>IFERROR(IF(FIND(DH$1,$W81)&gt;0,IF(INDEX([1]!Product_Pricing_Table[#Data],MATCH(DH$1,Products,0),2)="Cores",IF(HostBuild[Use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1" s="60">
        <f>IFERROR(IF(FIND(DI$1,$W81)&gt;0,IF(INDEX([1]!Product_Pricing_Table[#Data],MATCH(DI$1,Products,0),2)="Cores",IF(HostBuild[Use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1" s="59">
        <f>IFERROR(IF(FIND(DJ$1,$W81)&gt;0,IF(INDEX([1]!Product_Pricing_Table[#Data],MATCH(DJ$1,Products,0),2)="Cores",IF(HostBuild[Use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1" s="59">
        <f>IFERROR(IF(FIND(DK$1,$W81)&gt;0,IF(INDEX([1]!Product_Pricing_Table[#Data],MATCH(DK$1,Products,0),2)="Cores",IF(HostBuild[Use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1" s="59">
        <f>IFERROR(IF(FIND(DL$1,$W81)&gt;0,IF(INDEX([1]!Product_Pricing_Table[#Data],MATCH(DL$1,Products,0),2)="Cores",IF(HostBuild[Use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1" s="59">
        <f>IFERROR(IF(FIND(DM$1,$W81)&gt;0,IF(INDEX([1]!Product_Pricing_Table[#Data],MATCH(DM$1,Products,0),2)="Cores",IF(HostBuild[Use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1" s="59">
        <f>IFERROR(IF(FIND(DN$1,$W81)&gt;0,IF(INDEX([1]!Product_Pricing_Table[#Data],MATCH(DN$1,Products,0),2)="Cores",IF(HostBuild[Use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1" s="59">
        <f>IFERROR(IF(FIND(DO$1,$W81)&gt;0,IF(INDEX([1]!Product_Pricing_Table[#Data],MATCH(DO$1,Products,0),2)="Cores",IF(HostBuild[Use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1" s="59">
        <f>IFERROR(IF(FIND(DP$1,$W81)&gt;0,IF(INDEX([1]!Product_Pricing_Table[#Data],MATCH(DP$1,Products,0),2)="Cores",IF(HostBuild[Use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1" s="59">
        <f>IFERROR(IF(FIND(DQ$1,$W81)&gt;0,IF(INDEX([1]!Product_Pricing_Table[#Data],MATCH(DQ$1,Products,0),2)="Cores",IF(HostBuild[Use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1" s="59">
        <f>IFERROR(IF(FIND(DR$1,$W81)&gt;0,IF(INDEX([1]!Product_Pricing_Table[#Data],MATCH(DR$1,Products,0),2)="Cores",IF(HostBuild[Use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1" s="59">
        <f>IFERROR(IF(FIND(DS$1,$W81)&gt;0,IF(INDEX([1]!Product_Pricing_Table[#Data],MATCH(DS$1,Products,0),2)="Cores",IF(HostBuild[Use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1" s="59">
        <f>IFERROR(IF(FIND(DT$1,$W81)&gt;0,IF(INDEX([1]!Product_Pricing_Table[#Data],MATCH(DT$1,Products,0),2)="Cores",IF(HostBuild[Use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1" s="59">
        <f>IFERROR(IF(FIND(DU$1,$W81)&gt;0,IF(INDEX([1]!Product_Pricing_Table[#Data],MATCH(DU$1,Products,0),2)="Cores",IF(HostBuild[Use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1" s="59">
        <f>IFERROR(IF(FIND(DV$1,$W81)&gt;0,IF(INDEX([1]!Product_Pricing_Table[#Data],MATCH(DV$1,Products,0),2)="Cores",IF(HostBuild[Use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1" s="59">
        <f>IFERROR(IF(FIND(DW$1,$W81)&gt;0,IF(INDEX([1]!Product_Pricing_Table[#Data],MATCH(DW$1,Products,0),2)="Cores",IF(HostBuild[Use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1" s="59">
        <f>IFERROR(IF(FIND(DX$1,$W81)&gt;0,IF(INDEX([1]!Product_Pricing_Table[#Data],MATCH(DX$1,Products,0),2)="Cores",IF(HostBuild[Use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1" s="59">
        <f>IFERROR(IF(FIND(DY$1,$W81)&gt;0,IF(INDEX([1]!Product_Pricing_Table[#Data],MATCH(DY$1,Products,0),2)="Cores",IF(HostBuild[Use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1" s="59">
        <f>IFERROR(IF(FIND(DZ$1,$W81)&gt;0,IF(INDEX([1]!Product_Pricing_Table[#Data],MATCH(DZ$1,Products,0),2)="Cores",IF(HostBuild[Use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1" s="59">
        <f>IFERROR(IF(FIND(EA$1,$W81)&gt;0,IF(INDEX([1]!Product_Pricing_Table[#Data],MATCH(EA$1,Products,0),2)="Cores",IF(HostBuild[Use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1" s="59">
        <f>IFERROR(IF(FIND(EB$1,$W81)&gt;0,IF(INDEX([1]!Product_Pricing_Table[#Data],MATCH(EB$1,Products,0),2)="Cores",IF(HostBuild[Use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1" s="60">
        <f>IFERROR(IF(FIND(EC$1,$W81)&gt;0,IF(INDEX([1]!Product_Pricing_Table[#Data],MATCH(EC$1,Products,0),2)="Cores",IF(HostBuild[Use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1" s="59">
        <f>IFERROR(IF(FIND(ED$1,$W81)&gt;0,IF(INDEX([1]!Product_Pricing_Table[#Data],MATCH(ED$1,Products,0),2)="Cores",IF(HostBuild[Use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1" s="59">
        <f>IFERROR(IF(FIND(EE$1,$W81)&gt;0,IF(INDEX([1]!Product_Pricing_Table[#Data],MATCH(EE$1,Products,0),2)="Cores",IF(HostBuild[Use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1" s="59">
        <f>IFERROR(IF(FIND(EF$1,$W81)&gt;0,IF(INDEX([1]!Product_Pricing_Table[#Data],MATCH(EF$1,Products,0),2)="Cores",IF(HostBuild[Use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1" s="59">
        <f>IFERROR(IF(FIND(EG$1,$W81)&gt;0,IF(INDEX([1]!Product_Pricing_Table[#Data],MATCH(EG$1,Products,0),2)="Cores",IF(HostBuild[Use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1" s="59">
        <f>IFERROR(IF(FIND(EH$1,$W81)&gt;0,IF(INDEX([1]!Product_Pricing_Table[#Data],MATCH(EH$1,Products,0),2)="Cores",IF(HostBuild[Use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81" s="59">
        <f>IFERROR(IF(FIND(EI$1,$W81)&gt;0,IF(INDEX([1]!Product_Pricing_Table[#Data],MATCH(EI$1,Products,0),2)="Cores",IF(HostBuild[Use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1" s="59">
        <f>IFERROR(IF(FIND(EJ$1,$W81)&gt;0,IF(INDEX([1]!Product_Pricing_Table[#Data],MATCH(EJ$1,Products,0),2)="Cores",IF(HostBuild[Use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1" s="60">
        <f>IFERROR(IF(FIND(EK$1,$W81)&gt;0,IF(INDEX([1]!Product_Pricing_Table[#Data],MATCH(EK$1,Products,0),2)="Cores",IF(HostBuild[Use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1" s="61"/>
      <c r="EM81" s="62"/>
      <c r="EN81" s="63"/>
      <c r="EO81"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8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1" s="132">
        <f>(HostBuild[Archive
Full (GB)]+HostBuild[Archive
Incr (GB)])*Storage_DC_Dist_Tape_2014</f>
        <v>16.955312499999998</v>
      </c>
      <c r="ER81" s="132">
        <f>IF(ISNUMBER(HostBuild[Server HW Costs
(Monthly)]),SUM(HostBuild[[#This Row],[Server HW Costs
(Monthly)]:[Tape Costs
(Monthly)]]),0)</f>
        <v>92.780312500000008</v>
      </c>
      <c r="ES81" s="65">
        <f>HostBuild[Software Costs
'[Year 1']
(Monthly)]+HostBuild[Total Hardware Costs
(Monthly)]</f>
        <v>92.780312500000008</v>
      </c>
      <c r="ET81" s="65">
        <f>IFERROR(IF(FIND("Safenet",HostBuild[Server Model]),Safenet_PSE_PL600_Maint,0),0)+IFERROR(IF(FIND("XI52",HostBuild[Server Model]),IBM_DIA_XI52_Maint,0),0)+HostBuild[Software Costs
'[After Year 1']
(Monthly)]+HostBuild[Total Hardware Costs
(Monthly)]</f>
        <v>92.780312500000008</v>
      </c>
      <c r="EU81" s="66">
        <f>SUM(HostBuild[[#This Row],[Server Cost Breakdown]:[Network Cost]])</f>
        <v>0</v>
      </c>
      <c r="EV81" s="67">
        <f>IF(HostBuild[Existing Server?]="Yes - Inside this BoM",0,SUMIF(HostBuild[Alias],HostBuild[Alias],HostBuild[CPU])+SUMIF(HostBuild[Alias],HostBuild[Alias],HostBuild[Existing CPUs]))</f>
        <v>0</v>
      </c>
      <c r="EW81" s="67">
        <f>IF(HostBuild[Existing Server?]="Yes - Inside this BoM",0,SUMIF(HostBuild[Alias],HostBuild[Alias],HostBuild[Cores 
(Licensed Units)])+SUMIF(HostBuild[Alias],HostBuild[Alias],HostBuild[Existing Cores]))</f>
        <v>0</v>
      </c>
      <c r="EX81" s="67">
        <f>IF(HostBuild[Existing Server?]="Yes - Inside this BoM",0,SUMIF(HostBuild[Alias],HostBuild[Alias],HostBuild[RAM 
(GB)])+SUMIF(HostBuild[Alias],HostBuild[Alias],HostBuild[Existing RAM (GB)]))</f>
        <v>0</v>
      </c>
      <c r="EY8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1" s="66">
        <f>IF(ISBLANK(HostBuild[Server Model]),0,IF(HostBuild[Server Tier]="VMware",0,VLOOKUP(HostBuild[Server Tier],[1]!ServerTierRates[#Data],2,0))*HostBuild[CPU]*IF(AND(HostBuild[Server Type]="pSeries",HostBuild[Virtual Platform Storage Type]="Cloud-SAN"),0.25,1))</f>
        <v>0</v>
      </c>
      <c r="FD81" s="66">
        <f>0</f>
        <v>0</v>
      </c>
      <c r="FE81" s="66">
        <f>IF(HostBuild[Server Type]="VMware",HostBuild[RAM 
(GB)]*IF(ISERROR(FIND("DevCloud", HostBuild[Server Model])&gt;0),vRAM_per_vCPU_2014_Monthly,vRAM_per_vCPU_2014_Daily*30),0)</f>
        <v>0</v>
      </c>
      <c r="FF8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1" s="69">
        <f>IF(HostBuild[Server Tier]="VMware",0,IF(LEFT(HostBuild[Existing Server?],3)="Yes",0,IF(OR(HostBuild[Server Type]="Sun",HostBuild[Server Type]="pSeries"),Support_Direct_Server_Sun_per_OS_2014,IF(HostBuild[Server Type]="x86",Support_Direct_Server_x86_Wintel_per_OS_2014,0))))</f>
        <v>0</v>
      </c>
      <c r="FI8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2" spans="1:165" hidden="1">
      <c r="A82" s="122" t="s">
        <v>53</v>
      </c>
      <c r="B82" s="36"/>
      <c r="C82" s="36"/>
      <c r="D82" s="36"/>
      <c r="E82" s="37"/>
      <c r="F82" s="37"/>
      <c r="G82" s="103"/>
      <c r="H82" s="103"/>
      <c r="I82" s="38"/>
      <c r="J82" s="37"/>
      <c r="K82" s="37"/>
      <c r="L82" s="37"/>
      <c r="M82" s="103" t="e">
        <f ca="1">IF(rngIsDate(HostBuild[CTO Acceptance]),"Y","N")</f>
        <v>#NAME?</v>
      </c>
      <c r="N82" s="123" t="s">
        <v>3</v>
      </c>
      <c r="O82" s="39"/>
      <c r="P82" s="39"/>
      <c r="Q82" s="123" t="s">
        <v>1</v>
      </c>
      <c r="R82" s="126" t="str">
        <f>IF(NOT(ISBLANK(HostBuild[Env Label])),IFERROR(VLOOKUP(HostBuild[Env Label],[1]!tEnv[#Data],3,FALSE),""),"")</f>
        <v/>
      </c>
      <c r="S82" s="104"/>
      <c r="T82" s="40"/>
      <c r="U82" s="105"/>
      <c r="V82" s="123" t="s">
        <v>82</v>
      </c>
      <c r="W82" s="123" t="s">
        <v>83</v>
      </c>
      <c r="X82" s="123" t="s">
        <v>57</v>
      </c>
      <c r="Y82" s="123" t="s">
        <v>58</v>
      </c>
      <c r="Z82" s="126" t="str">
        <f>IF(NOT(ISBLANK(HostBuild[[#This Row],[Product 
(Acronym)]])),CONCATENATE(HostBuild[[#This Row],[Type]],"-",HostBuild[[#This Row],[Product 
(Acronym)]]),"")</f>
        <v>AP-ESB</v>
      </c>
      <c r="AA82" s="106"/>
      <c r="AB82" s="106" t="s">
        <v>171</v>
      </c>
      <c r="AC82" s="41"/>
      <c r="AD82" s="42"/>
      <c r="AE82" s="42"/>
      <c r="AF82" s="43"/>
      <c r="AG82" s="124"/>
      <c r="AH82" s="107"/>
      <c r="AI82" s="124" t="s">
        <v>165</v>
      </c>
      <c r="AJ82" s="123">
        <f>IF(COUNTIF(HostBuild[Alias],HostBuild[Alias]),1/COUNTIF(HostBuild[Alias],HostBuild[Alias]),0)</f>
        <v>1</v>
      </c>
      <c r="AK82" s="124"/>
      <c r="AL82" s="124"/>
      <c r="AM82" s="44" t="s">
        <v>62</v>
      </c>
      <c r="AN82" s="45" t="str">
        <f>IF(NOT(ISBLANK(HostBuild[Server Model])),VLOOKUP(HostBuild[Server Model],[1]!ServerModelsTier[#Data],2,FALSE),"")</f>
        <v>x86 Tier 3</v>
      </c>
      <c r="AO82" s="45" t="str">
        <f>IF(NOT(ISBLANK(HostBuild[Server Model])),VLOOKUP(HostBuild[Server Model],[1]!ServerModelsTier[#Data],5,FALSE),"")</f>
        <v>x86</v>
      </c>
      <c r="AP82" s="44"/>
      <c r="AQ82" s="44" t="s">
        <v>63</v>
      </c>
      <c r="AR82" s="46"/>
      <c r="AS82" s="108"/>
      <c r="AT82" s="47">
        <v>16</v>
      </c>
      <c r="AU82" s="109" t="str">
        <f>IF(IFERROR(FIND("P-Series",HostBuild[Server Tier]),0),CEILING((HostBuild[Existing CPUs]+HostBuild[CPU])*16,8),"")</f>
        <v/>
      </c>
      <c r="AV82" s="48"/>
      <c r="AW82" s="124"/>
      <c r="AX82" s="124"/>
      <c r="AY82" s="124"/>
      <c r="AZ82" s="49"/>
      <c r="BA82" s="124"/>
      <c r="BB82" s="124"/>
      <c r="BC82" s="42"/>
      <c r="BD82" s="124"/>
      <c r="BE82" s="124"/>
      <c r="BF82" s="124"/>
      <c r="BG82" s="124"/>
      <c r="BH82" s="124"/>
      <c r="BI82" s="124"/>
      <c r="BJ82" s="124"/>
      <c r="BK82"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82" s="127">
        <v>150</v>
      </c>
      <c r="BM82" s="129">
        <f>IF(ISNUMBER(HostBuild[Recommended SAN (GB)]),HostBuild[Recommended SAN (GB)])+IF(HostBuild[Additional SAN (GB)]&gt;0,CEILING(HostBuild[Additional SAN (GB)],LUN),-(CEILING(-HostBuild[Additional SAN (GB)],LUN)))</f>
        <v>168.5</v>
      </c>
      <c r="BN82" s="128"/>
      <c r="BO82" s="129">
        <f>HostBuild[SAN (GB)
NEEDED TODAY]+CEILING(HostBuild[SAN (GB)
RESERVED
DO NOT USE TO BUILD], LUN)</f>
        <v>168.5</v>
      </c>
      <c r="BP82" s="130"/>
      <c r="BQ82" s="131"/>
      <c r="BR82" s="125" t="s">
        <v>76</v>
      </c>
      <c r="BS82" s="110">
        <f>IF(HostBuild[Existing Server?]&lt;&gt;"Yes - Inside this BoM",IF(ISNUMBER(HostBuild[RAM 
(GB)]),IF(HostBuild[Existing RAM (GB)]+HostBuild[RAM 
(GB)]&gt;0,IF(HostBuild[Virtual Platform Storage Type]="NAS",110+HostBuild[Existing RAM (GB)]+HostBuild[RAM 
(GB)]*1.75,0),0),0),0)</f>
        <v>0</v>
      </c>
      <c r="BT82" s="111"/>
      <c r="BU82" s="112">
        <f>IF(ISNUMBER(HostBuild[Recommended NAS (GB)]),HostBuild[Recommended NAS (GB)])+HostBuild[Additional NAS (GB)]</f>
        <v>0</v>
      </c>
      <c r="BV82" s="50"/>
      <c r="BW82" s="50"/>
      <c r="BX82" s="133">
        <f>IFERROR((HostBuild[SAN (GB)
End-State
DO NOT USE TO BUILD]+HostBuild[SAN (GB) Shared])*25%,"")</f>
        <v>42.125</v>
      </c>
      <c r="BY82" s="113">
        <f>IFERROR(HostBuild[Archive
Full (GB)]*15%,"")</f>
        <v>6.3187499999999996</v>
      </c>
      <c r="BZ82" s="51"/>
      <c r="CA82" s="51"/>
      <c r="CB82" s="52"/>
      <c r="CC82" s="53"/>
      <c r="CD82" s="52"/>
      <c r="CE82" s="54"/>
      <c r="CF82" s="128"/>
      <c r="CG82" s="114"/>
      <c r="CH82" s="55"/>
      <c r="CI82" s="56"/>
      <c r="CJ82" s="57" t="s">
        <v>85</v>
      </c>
      <c r="CK82" s="58"/>
      <c r="CL82" s="59">
        <f>IFERROR(IF(FIND(CL$1,$W82)&gt;0,IF(INDEX([1]!Product_Pricing_Table[#Data],MATCH(CL$1,Products,0),2)="Cores",IF(HostBuild[Use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2" s="59">
        <f>IFERROR(IF(FIND(CM$1,$W82)&gt;0,IF(INDEX([1]!Product_Pricing_Table[#Data],MATCH(CM$1,Products,0),2)="Cores",IF(HostBuild[Use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2" s="59">
        <f>IFERROR(IF(FIND(CN$1,$W82)&gt;0,IF(INDEX([1]!Product_Pricing_Table[#Data],MATCH(CN$1,Products,0),2)="Cores",IF(HostBuild[Use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2" s="59">
        <f>IFERROR(IF(FIND(CO$1,$W82)&gt;0,IF(INDEX([1]!Product_Pricing_Table[#Data],MATCH(CO$1,Products,0),2)="Cores",IF(HostBuild[Use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2" s="59">
        <f>IFERROR(IF(FIND(CP$1,$W82)&gt;0,IF(INDEX([1]!Product_Pricing_Table[#Data],MATCH(CP$1,Products,0),2)="Cores",IF(HostBuild[Use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2" s="59">
        <f>IFERROR(IF(FIND(CQ$1,$W82)&gt;0,IF(INDEX([1]!Product_Pricing_Table[#Data],MATCH(CQ$1,Products,0),2)="Cores",IF(HostBuild[Use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2" s="59">
        <f>IFERROR(IF(FIND(CR$1,$W82)&gt;0,IF(INDEX([1]!Product_Pricing_Table[#Data],MATCH(CR$1,Products,0),2)="Cores",IF(HostBuild[Use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2" s="59">
        <f>IFERROR(IF(FIND(CS$1,$W82)&gt;0,IF(INDEX([1]!Product_Pricing_Table[#Data],MATCH(CS$1,Products,0),2)="Cores",IF(HostBuild[Use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2" s="59">
        <f>IFERROR(IF(FIND(CT$1,$W82)&gt;0,IF(INDEX([1]!Product_Pricing_Table[#Data],MATCH(CT$1,Products,0),2)="Cores",IF(HostBuild[Use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2" s="59">
        <f>IFERROR(IF(FIND(CU$1,$W82)&gt;0,IF(INDEX([1]!Product_Pricing_Table[#Data],MATCH(CU$1,Products,0),2)="Cores",IF(HostBuild[Use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2" s="59">
        <f>IFERROR(IF(FIND(CV$1,$W82)&gt;0,IF(INDEX([1]!Product_Pricing_Table[#Data],MATCH(CV$1,Products,0),2)="Cores",IF(HostBuild[Use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2" s="59">
        <f>IFERROR(IF(FIND(CW$1,$W82)&gt;0,IF(INDEX([1]!Product_Pricing_Table[#Data],MATCH(CW$1,Products,0),2)="Cores",IF(HostBuild[Use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2" s="59">
        <f>IFERROR(IF(FIND(CX$1,$W82)&gt;0,IF(INDEX([1]!Product_Pricing_Table[#Data],MATCH(CX$1,Products,0),2)="Cores",IF(HostBuild[Use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2" s="59">
        <f>IFERROR(IF(FIND(CY$1,$W82)&gt;0,IF(INDEX([1]!Product_Pricing_Table[#Data],MATCH(CY$1,Products,0),2)="Cores",IF(HostBuild[Use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2" s="59">
        <f>IFERROR(IF(FIND(CZ$1,$W82)&gt;0,IF(INDEX([1]!Product_Pricing_Table[#Data],MATCH(CZ$1,Products,0),2)="Cores",IF(HostBuild[Use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2" s="59">
        <f>IFERROR(IF(FIND(DA$1,$W82)&gt;0,IF(INDEX([1]!Product_Pricing_Table[#Data],MATCH(DA$1,Products,0),2)="Cores",IF(HostBuild[Use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2" s="59">
        <f>IFERROR(IF(FIND(DB$1,$W82)&gt;0,IF(INDEX([1]!Product_Pricing_Table[#Data],MATCH(DB$1,Products,0),2)="Cores",IF(HostBuild[Use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2" s="59">
        <f>IFERROR(IF(FIND(DC$1,$W82)&gt;0,IF(INDEX([1]!Product_Pricing_Table[#Data],MATCH(DC$1,Products,0),2)="Cores",IF(HostBuild[Use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2" s="59">
        <f>IFERROR(IF(FIND(DD$1,$W82)&gt;0,IF(INDEX([1]!Product_Pricing_Table[#Data],MATCH(DD$1,Products,0),2)="Cores",IF(HostBuild[Use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2" s="59">
        <f>IFERROR(IF(FIND(DE$1,$W82)&gt;0,IF(INDEX([1]!Product_Pricing_Table[#Data],MATCH(DE$1,Products,0),2)="Cores",IF(HostBuild[Use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2" s="60">
        <f>IFERROR(IF(FIND(DF$1,$W82)&gt;0,IF(INDEX([1]!Product_Pricing_Table[#Data],MATCH(DF$1,Products,0),2)="Cores",IF(HostBuild[Use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2" s="60">
        <f>IFERROR(IF(FIND(DG$1,$W82)&gt;0,IF(INDEX([1]!Product_Pricing_Table[#Data],MATCH(DG$1,Products,0),2)="Cores",IF(HostBuild[Use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2" s="59">
        <f>IFERROR(IF(FIND(DH$1,$W82)&gt;0,IF(INDEX([1]!Product_Pricing_Table[#Data],MATCH(DH$1,Products,0),2)="Cores",IF(HostBuild[Use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2" s="60">
        <f>IFERROR(IF(FIND(DI$1,$W82)&gt;0,IF(INDEX([1]!Product_Pricing_Table[#Data],MATCH(DI$1,Products,0),2)="Cores",IF(HostBuild[Use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2" s="59">
        <f>IFERROR(IF(FIND(DJ$1,$W82)&gt;0,IF(INDEX([1]!Product_Pricing_Table[#Data],MATCH(DJ$1,Products,0),2)="Cores",IF(HostBuild[Use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2" s="59">
        <f>IFERROR(IF(FIND(DK$1,$W82)&gt;0,IF(INDEX([1]!Product_Pricing_Table[#Data],MATCH(DK$1,Products,0),2)="Cores",IF(HostBuild[Use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2" s="59">
        <f>IFERROR(IF(FIND(DL$1,$W82)&gt;0,IF(INDEX([1]!Product_Pricing_Table[#Data],MATCH(DL$1,Products,0),2)="Cores",IF(HostBuild[Use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2" s="59">
        <f>IFERROR(IF(FIND(DM$1,$W82)&gt;0,IF(INDEX([1]!Product_Pricing_Table[#Data],MATCH(DM$1,Products,0),2)="Cores",IF(HostBuild[Use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2" s="59">
        <f>IFERROR(IF(FIND(DN$1,$W82)&gt;0,IF(INDEX([1]!Product_Pricing_Table[#Data],MATCH(DN$1,Products,0),2)="Cores",IF(HostBuild[Use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2" s="59">
        <f>IFERROR(IF(FIND(DO$1,$W82)&gt;0,IF(INDEX([1]!Product_Pricing_Table[#Data],MATCH(DO$1,Products,0),2)="Cores",IF(HostBuild[Use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2" s="59">
        <f>IFERROR(IF(FIND(DP$1,$W82)&gt;0,IF(INDEX([1]!Product_Pricing_Table[#Data],MATCH(DP$1,Products,0),2)="Cores",IF(HostBuild[Use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2" s="59">
        <f>IFERROR(IF(FIND(DQ$1,$W82)&gt;0,IF(INDEX([1]!Product_Pricing_Table[#Data],MATCH(DQ$1,Products,0),2)="Cores",IF(HostBuild[Use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2" s="59">
        <f>IFERROR(IF(FIND(DR$1,$W82)&gt;0,IF(INDEX([1]!Product_Pricing_Table[#Data],MATCH(DR$1,Products,0),2)="Cores",IF(HostBuild[Use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2" s="59">
        <f>IFERROR(IF(FIND(DS$1,$W82)&gt;0,IF(INDEX([1]!Product_Pricing_Table[#Data],MATCH(DS$1,Products,0),2)="Cores",IF(HostBuild[Use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2" s="59">
        <f>IFERROR(IF(FIND(DT$1,$W82)&gt;0,IF(INDEX([1]!Product_Pricing_Table[#Data],MATCH(DT$1,Products,0),2)="Cores",IF(HostBuild[Use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2" s="59">
        <f>IFERROR(IF(FIND(DU$1,$W82)&gt;0,IF(INDEX([1]!Product_Pricing_Table[#Data],MATCH(DU$1,Products,0),2)="Cores",IF(HostBuild[Use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2" s="59">
        <f>IFERROR(IF(FIND(DV$1,$W82)&gt;0,IF(INDEX([1]!Product_Pricing_Table[#Data],MATCH(DV$1,Products,0),2)="Cores",IF(HostBuild[Use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2" s="59">
        <f>IFERROR(IF(FIND(DW$1,$W82)&gt;0,IF(INDEX([1]!Product_Pricing_Table[#Data],MATCH(DW$1,Products,0),2)="Cores",IF(HostBuild[Use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2" s="59">
        <f>IFERROR(IF(FIND(DX$1,$W82)&gt;0,IF(INDEX([1]!Product_Pricing_Table[#Data],MATCH(DX$1,Products,0),2)="Cores",IF(HostBuild[Use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2" s="59">
        <f>IFERROR(IF(FIND(DY$1,$W82)&gt;0,IF(INDEX([1]!Product_Pricing_Table[#Data],MATCH(DY$1,Products,0),2)="Cores",IF(HostBuild[Use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2" s="59">
        <f>IFERROR(IF(FIND(DZ$1,$W82)&gt;0,IF(INDEX([1]!Product_Pricing_Table[#Data],MATCH(DZ$1,Products,0),2)="Cores",IF(HostBuild[Use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2" s="59">
        <f>IFERROR(IF(FIND(EA$1,$W82)&gt;0,IF(INDEX([1]!Product_Pricing_Table[#Data],MATCH(EA$1,Products,0),2)="Cores",IF(HostBuild[Use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2" s="59">
        <f>IFERROR(IF(FIND(EB$1,$W82)&gt;0,IF(INDEX([1]!Product_Pricing_Table[#Data],MATCH(EB$1,Products,0),2)="Cores",IF(HostBuild[Use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2" s="60">
        <f>IFERROR(IF(FIND(EC$1,$W82)&gt;0,IF(INDEX([1]!Product_Pricing_Table[#Data],MATCH(EC$1,Products,0),2)="Cores",IF(HostBuild[Use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2" s="59">
        <f>IFERROR(IF(FIND(ED$1,$W82)&gt;0,IF(INDEX([1]!Product_Pricing_Table[#Data],MATCH(ED$1,Products,0),2)="Cores",IF(HostBuild[Use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2" s="59">
        <f>IFERROR(IF(FIND(EE$1,$W82)&gt;0,IF(INDEX([1]!Product_Pricing_Table[#Data],MATCH(EE$1,Products,0),2)="Cores",IF(HostBuild[Use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2" s="59">
        <f>IFERROR(IF(FIND(EF$1,$W82)&gt;0,IF(INDEX([1]!Product_Pricing_Table[#Data],MATCH(EF$1,Products,0),2)="Cores",IF(HostBuild[Use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2" s="59">
        <f>IFERROR(IF(FIND(EG$1,$W82)&gt;0,IF(INDEX([1]!Product_Pricing_Table[#Data],MATCH(EG$1,Products,0),2)="Cores",IF(HostBuild[Use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2" s="59">
        <f>IFERROR(IF(FIND(EH$1,$W82)&gt;0,IF(INDEX([1]!Product_Pricing_Table[#Data],MATCH(EH$1,Products,0),2)="Cores",IF(HostBuild[Use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82" s="59">
        <f>IFERROR(IF(FIND(EI$1,$W82)&gt;0,IF(INDEX([1]!Product_Pricing_Table[#Data],MATCH(EI$1,Products,0),2)="Cores",IF(HostBuild[Use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2" s="59">
        <f>IFERROR(IF(FIND(EJ$1,$W82)&gt;0,IF(INDEX([1]!Product_Pricing_Table[#Data],MATCH(EJ$1,Products,0),2)="Cores",IF(HostBuild[Use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2" s="60">
        <f>IFERROR(IF(FIND(EK$1,$W82)&gt;0,IF(INDEX([1]!Product_Pricing_Table[#Data],MATCH(EK$1,Products,0),2)="Cores",IF(HostBuild[Use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2" s="61"/>
      <c r="EM82" s="62"/>
      <c r="EN82" s="63"/>
      <c r="EO82"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8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2" s="132">
        <f>(HostBuild[Archive
Full (GB)]+HostBuild[Archive
Incr (GB)])*Storage_DC_Dist_Tape_2014</f>
        <v>16.955312499999998</v>
      </c>
      <c r="ER82" s="132">
        <f>IF(ISNUMBER(HostBuild[Server HW Costs
(Monthly)]),SUM(HostBuild[[#This Row],[Server HW Costs
(Monthly)]:[Tape Costs
(Monthly)]]),0)</f>
        <v>92.780312500000008</v>
      </c>
      <c r="ES82" s="65">
        <f>HostBuild[Software Costs
'[Year 1']
(Monthly)]+HostBuild[Total Hardware Costs
(Monthly)]</f>
        <v>92.780312500000008</v>
      </c>
      <c r="ET82" s="65">
        <f>IFERROR(IF(FIND("Safenet",HostBuild[Server Model]),Safenet_PSE_PL600_Maint,0),0)+IFERROR(IF(FIND("XI52",HostBuild[Server Model]),IBM_DIA_XI52_Maint,0),0)+HostBuild[Software Costs
'[After Year 1']
(Monthly)]+HostBuild[Total Hardware Costs
(Monthly)]</f>
        <v>92.780312500000008</v>
      </c>
      <c r="EU82" s="66">
        <f>SUM(HostBuild[[#This Row],[Server Cost Breakdown]:[Network Cost]])</f>
        <v>0</v>
      </c>
      <c r="EV82" s="67">
        <f>IF(HostBuild[Existing Server?]="Yes - Inside this BoM",0,SUMIF(HostBuild[Alias],HostBuild[Alias],HostBuild[CPU])+SUMIF(HostBuild[Alias],HostBuild[Alias],HostBuild[Existing CPUs]))</f>
        <v>0</v>
      </c>
      <c r="EW82" s="67">
        <f>IF(HostBuild[Existing Server?]="Yes - Inside this BoM",0,SUMIF(HostBuild[Alias],HostBuild[Alias],HostBuild[Cores 
(Licensed Units)])+SUMIF(HostBuild[Alias],HostBuild[Alias],HostBuild[Existing Cores]))</f>
        <v>0</v>
      </c>
      <c r="EX82" s="67">
        <f>IF(HostBuild[Existing Server?]="Yes - Inside this BoM",0,SUMIF(HostBuild[Alias],HostBuild[Alias],HostBuild[RAM 
(GB)])+SUMIF(HostBuild[Alias],HostBuild[Alias],HostBuild[Existing RAM (GB)]))</f>
        <v>0</v>
      </c>
      <c r="EY8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2" s="66">
        <f>IF(ISBLANK(HostBuild[Server Model]),0,IF(HostBuild[Server Tier]="VMware",0,VLOOKUP(HostBuild[Server Tier],[1]!ServerTierRates[#Data],2,0))*HostBuild[CPU]*IF(AND(HostBuild[Server Type]="pSeries",HostBuild[Virtual Platform Storage Type]="Cloud-SAN"),0.25,1))</f>
        <v>0</v>
      </c>
      <c r="FD82" s="66">
        <f>0</f>
        <v>0</v>
      </c>
      <c r="FE82" s="66">
        <f>IF(HostBuild[Server Type]="VMware",HostBuild[RAM 
(GB)]*IF(ISERROR(FIND("DevCloud", HostBuild[Server Model])&gt;0),vRAM_per_vCPU_2014_Monthly,vRAM_per_vCPU_2014_Daily*30),0)</f>
        <v>0</v>
      </c>
      <c r="FF8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2" s="69">
        <f>IF(HostBuild[Server Tier]="VMware",0,IF(LEFT(HostBuild[Existing Server?],3)="Yes",0,IF(OR(HostBuild[Server Type]="Sun",HostBuild[Server Type]="pSeries"),Support_Direct_Server_Sun_per_OS_2014,IF(HostBuild[Server Type]="x86",Support_Direct_Server_x86_Wintel_per_OS_2014,0))))</f>
        <v>0</v>
      </c>
      <c r="FI8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3" spans="1:165" hidden="1">
      <c r="A83" s="122" t="s">
        <v>53</v>
      </c>
      <c r="B83" s="36"/>
      <c r="C83" s="36"/>
      <c r="D83" s="36"/>
      <c r="E83" s="37"/>
      <c r="F83" s="37"/>
      <c r="G83" s="103"/>
      <c r="H83" s="103"/>
      <c r="I83" s="38"/>
      <c r="J83" s="37"/>
      <c r="K83" s="37"/>
      <c r="L83" s="37"/>
      <c r="M83" s="103" t="e">
        <f ca="1">IF(rngIsDate(HostBuild[CTO Acceptance]),"Y","N")</f>
        <v>#NAME?</v>
      </c>
      <c r="N83" s="123" t="s">
        <v>3</v>
      </c>
      <c r="O83" s="39"/>
      <c r="P83" s="39"/>
      <c r="Q83" s="123" t="s">
        <v>1</v>
      </c>
      <c r="R83" s="126" t="str">
        <f>IF(NOT(ISBLANK(HostBuild[Env Label])),IFERROR(VLOOKUP(HostBuild[Env Label],[1]!tEnv[#Data],3,FALSE),""),"")</f>
        <v/>
      </c>
      <c r="S83" s="104"/>
      <c r="T83" s="40"/>
      <c r="U83" s="105"/>
      <c r="V83" s="123" t="s">
        <v>82</v>
      </c>
      <c r="W83" s="123" t="s">
        <v>83</v>
      </c>
      <c r="X83" s="123" t="s">
        <v>57</v>
      </c>
      <c r="Y83" s="123" t="s">
        <v>58</v>
      </c>
      <c r="Z83" s="126" t="str">
        <f>IF(NOT(ISBLANK(HostBuild[[#This Row],[Product 
(Acronym)]])),CONCATENATE(HostBuild[[#This Row],[Type]],"-",HostBuild[[#This Row],[Product 
(Acronym)]]),"")</f>
        <v>AP-ESB</v>
      </c>
      <c r="AA83" s="106"/>
      <c r="AB83" s="106" t="s">
        <v>171</v>
      </c>
      <c r="AC83" s="41"/>
      <c r="AD83" s="42"/>
      <c r="AE83" s="42"/>
      <c r="AF83" s="43"/>
      <c r="AG83" s="124"/>
      <c r="AH83" s="107"/>
      <c r="AI83" s="124" t="s">
        <v>166</v>
      </c>
      <c r="AJ83" s="123">
        <f>IF(COUNTIF(HostBuild[Alias],HostBuild[Alias]),1/COUNTIF(HostBuild[Alias],HostBuild[Alias]),0)</f>
        <v>1</v>
      </c>
      <c r="AK83" s="124"/>
      <c r="AL83" s="124"/>
      <c r="AM83" s="44" t="s">
        <v>62</v>
      </c>
      <c r="AN83" s="45" t="str">
        <f>IF(NOT(ISBLANK(HostBuild[Server Model])),VLOOKUP(HostBuild[Server Model],[1]!ServerModelsTier[#Data],2,FALSE),"")</f>
        <v>x86 Tier 3</v>
      </c>
      <c r="AO83" s="45" t="str">
        <f>IF(NOT(ISBLANK(HostBuild[Server Model])),VLOOKUP(HostBuild[Server Model],[1]!ServerModelsTier[#Data],5,FALSE),"")</f>
        <v>x86</v>
      </c>
      <c r="AP83" s="44"/>
      <c r="AQ83" s="44" t="s">
        <v>63</v>
      </c>
      <c r="AR83" s="46"/>
      <c r="AS83" s="108"/>
      <c r="AT83" s="47">
        <v>16</v>
      </c>
      <c r="AU83" s="109" t="str">
        <f>IF(IFERROR(FIND("P-Series",HostBuild[Server Tier]),0),CEILING((HostBuild[Existing CPUs]+HostBuild[CPU])*16,8),"")</f>
        <v/>
      </c>
      <c r="AV83" s="48"/>
      <c r="AW83" s="124"/>
      <c r="AX83" s="124"/>
      <c r="AY83" s="124"/>
      <c r="AZ83" s="49"/>
      <c r="BA83" s="124"/>
      <c r="BB83" s="124"/>
      <c r="BC83" s="42"/>
      <c r="BD83" s="124"/>
      <c r="BE83" s="124"/>
      <c r="BF83" s="124"/>
      <c r="BG83" s="124"/>
      <c r="BH83" s="124"/>
      <c r="BI83" s="124"/>
      <c r="BJ83" s="124"/>
      <c r="BK83"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83" s="127">
        <v>150</v>
      </c>
      <c r="BM83" s="129">
        <f>IF(ISNUMBER(HostBuild[Recommended SAN (GB)]),HostBuild[Recommended SAN (GB)])+IF(HostBuild[Additional SAN (GB)]&gt;0,CEILING(HostBuild[Additional SAN (GB)],LUN),-(CEILING(-HostBuild[Additional SAN (GB)],LUN)))</f>
        <v>168.5</v>
      </c>
      <c r="BN83" s="128"/>
      <c r="BO83" s="129">
        <f>HostBuild[SAN (GB)
NEEDED TODAY]+CEILING(HostBuild[SAN (GB)
RESERVED
DO NOT USE TO BUILD], LUN)</f>
        <v>168.5</v>
      </c>
      <c r="BP83" s="130"/>
      <c r="BQ83" s="131"/>
      <c r="BR83" s="125" t="s">
        <v>76</v>
      </c>
      <c r="BS83" s="110">
        <f>IF(HostBuild[Existing Server?]&lt;&gt;"Yes - Inside this BoM",IF(ISNUMBER(HostBuild[RAM 
(GB)]),IF(HostBuild[Existing RAM (GB)]+HostBuild[RAM 
(GB)]&gt;0,IF(HostBuild[Virtual Platform Storage Type]="NAS",110+HostBuild[Existing RAM (GB)]+HostBuild[RAM 
(GB)]*1.75,0),0),0),0)</f>
        <v>0</v>
      </c>
      <c r="BT83" s="111"/>
      <c r="BU83" s="112">
        <f>IF(ISNUMBER(HostBuild[Recommended NAS (GB)]),HostBuild[Recommended NAS (GB)])+HostBuild[Additional NAS (GB)]</f>
        <v>0</v>
      </c>
      <c r="BV83" s="50"/>
      <c r="BW83" s="50"/>
      <c r="BX83" s="133">
        <f>IFERROR((HostBuild[SAN (GB)
End-State
DO NOT USE TO BUILD]+HostBuild[SAN (GB) Shared])*25%,"")</f>
        <v>42.125</v>
      </c>
      <c r="BY83" s="113">
        <f>IFERROR(HostBuild[Archive
Full (GB)]*15%,"")</f>
        <v>6.3187499999999996</v>
      </c>
      <c r="BZ83" s="51"/>
      <c r="CA83" s="51"/>
      <c r="CB83" s="52"/>
      <c r="CC83" s="53"/>
      <c r="CD83" s="52"/>
      <c r="CE83" s="54"/>
      <c r="CF83" s="128"/>
      <c r="CG83" s="114"/>
      <c r="CH83" s="55"/>
      <c r="CI83" s="56"/>
      <c r="CJ83" s="57" t="s">
        <v>85</v>
      </c>
      <c r="CK83" s="58"/>
      <c r="CL83" s="59">
        <f>IFERROR(IF(FIND(CL$1,$W83)&gt;0,IF(INDEX([1]!Product_Pricing_Table[#Data],MATCH(CL$1,Products,0),2)="Cores",IF(HostBuild[Use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3" s="59">
        <f>IFERROR(IF(FIND(CM$1,$W83)&gt;0,IF(INDEX([1]!Product_Pricing_Table[#Data],MATCH(CM$1,Products,0),2)="Cores",IF(HostBuild[Use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3" s="59">
        <f>IFERROR(IF(FIND(CN$1,$W83)&gt;0,IF(INDEX([1]!Product_Pricing_Table[#Data],MATCH(CN$1,Products,0),2)="Cores",IF(HostBuild[Use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3" s="59">
        <f>IFERROR(IF(FIND(CO$1,$W83)&gt;0,IF(INDEX([1]!Product_Pricing_Table[#Data],MATCH(CO$1,Products,0),2)="Cores",IF(HostBuild[Use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3" s="59">
        <f>IFERROR(IF(FIND(CP$1,$W83)&gt;0,IF(INDEX([1]!Product_Pricing_Table[#Data],MATCH(CP$1,Products,0),2)="Cores",IF(HostBuild[Use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3" s="59">
        <f>IFERROR(IF(FIND(CQ$1,$W83)&gt;0,IF(INDEX([1]!Product_Pricing_Table[#Data],MATCH(CQ$1,Products,0),2)="Cores",IF(HostBuild[Use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3" s="59">
        <f>IFERROR(IF(FIND(CR$1,$W83)&gt;0,IF(INDEX([1]!Product_Pricing_Table[#Data],MATCH(CR$1,Products,0),2)="Cores",IF(HostBuild[Use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3" s="59">
        <f>IFERROR(IF(FIND(CS$1,$W83)&gt;0,IF(INDEX([1]!Product_Pricing_Table[#Data],MATCH(CS$1,Products,0),2)="Cores",IF(HostBuild[Use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3" s="59">
        <f>IFERROR(IF(FIND(CT$1,$W83)&gt;0,IF(INDEX([1]!Product_Pricing_Table[#Data],MATCH(CT$1,Products,0),2)="Cores",IF(HostBuild[Use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3" s="59">
        <f>IFERROR(IF(FIND(CU$1,$W83)&gt;0,IF(INDEX([1]!Product_Pricing_Table[#Data],MATCH(CU$1,Products,0),2)="Cores",IF(HostBuild[Use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3" s="59">
        <f>IFERROR(IF(FIND(CV$1,$W83)&gt;0,IF(INDEX([1]!Product_Pricing_Table[#Data],MATCH(CV$1,Products,0),2)="Cores",IF(HostBuild[Use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3" s="59">
        <f>IFERROR(IF(FIND(CW$1,$W83)&gt;0,IF(INDEX([1]!Product_Pricing_Table[#Data],MATCH(CW$1,Products,0),2)="Cores",IF(HostBuild[Use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3" s="59">
        <f>IFERROR(IF(FIND(CX$1,$W83)&gt;0,IF(INDEX([1]!Product_Pricing_Table[#Data],MATCH(CX$1,Products,0),2)="Cores",IF(HostBuild[Use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3" s="59">
        <f>IFERROR(IF(FIND(CY$1,$W83)&gt;0,IF(INDEX([1]!Product_Pricing_Table[#Data],MATCH(CY$1,Products,0),2)="Cores",IF(HostBuild[Use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3" s="59">
        <f>IFERROR(IF(FIND(CZ$1,$W83)&gt;0,IF(INDEX([1]!Product_Pricing_Table[#Data],MATCH(CZ$1,Products,0),2)="Cores",IF(HostBuild[Use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3" s="59">
        <f>IFERROR(IF(FIND(DA$1,$W83)&gt;0,IF(INDEX([1]!Product_Pricing_Table[#Data],MATCH(DA$1,Products,0),2)="Cores",IF(HostBuild[Use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3" s="59">
        <f>IFERROR(IF(FIND(DB$1,$W83)&gt;0,IF(INDEX([1]!Product_Pricing_Table[#Data],MATCH(DB$1,Products,0),2)="Cores",IF(HostBuild[Use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3" s="59">
        <f>IFERROR(IF(FIND(DC$1,$W83)&gt;0,IF(INDEX([1]!Product_Pricing_Table[#Data],MATCH(DC$1,Products,0),2)="Cores",IF(HostBuild[Use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3" s="59">
        <f>IFERROR(IF(FIND(DD$1,$W83)&gt;0,IF(INDEX([1]!Product_Pricing_Table[#Data],MATCH(DD$1,Products,0),2)="Cores",IF(HostBuild[Use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3" s="59">
        <f>IFERROR(IF(FIND(DE$1,$W83)&gt;0,IF(INDEX([1]!Product_Pricing_Table[#Data],MATCH(DE$1,Products,0),2)="Cores",IF(HostBuild[Use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3" s="60">
        <f>IFERROR(IF(FIND(DF$1,$W83)&gt;0,IF(INDEX([1]!Product_Pricing_Table[#Data],MATCH(DF$1,Products,0),2)="Cores",IF(HostBuild[Use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3" s="60">
        <f>IFERROR(IF(FIND(DG$1,$W83)&gt;0,IF(INDEX([1]!Product_Pricing_Table[#Data],MATCH(DG$1,Products,0),2)="Cores",IF(HostBuild[Use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3" s="59">
        <f>IFERROR(IF(FIND(DH$1,$W83)&gt;0,IF(INDEX([1]!Product_Pricing_Table[#Data],MATCH(DH$1,Products,0),2)="Cores",IF(HostBuild[Use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3" s="60">
        <f>IFERROR(IF(FIND(DI$1,$W83)&gt;0,IF(INDEX([1]!Product_Pricing_Table[#Data],MATCH(DI$1,Products,0),2)="Cores",IF(HostBuild[Use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3" s="59">
        <f>IFERROR(IF(FIND(DJ$1,$W83)&gt;0,IF(INDEX([1]!Product_Pricing_Table[#Data],MATCH(DJ$1,Products,0),2)="Cores",IF(HostBuild[Use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3" s="59">
        <f>IFERROR(IF(FIND(DK$1,$W83)&gt;0,IF(INDEX([1]!Product_Pricing_Table[#Data],MATCH(DK$1,Products,0),2)="Cores",IF(HostBuild[Use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3" s="59">
        <f>IFERROR(IF(FIND(DL$1,$W83)&gt;0,IF(INDEX([1]!Product_Pricing_Table[#Data],MATCH(DL$1,Products,0),2)="Cores",IF(HostBuild[Use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3" s="59">
        <f>IFERROR(IF(FIND(DM$1,$W83)&gt;0,IF(INDEX([1]!Product_Pricing_Table[#Data],MATCH(DM$1,Products,0),2)="Cores",IF(HostBuild[Use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3" s="59">
        <f>IFERROR(IF(FIND(DN$1,$W83)&gt;0,IF(INDEX([1]!Product_Pricing_Table[#Data],MATCH(DN$1,Products,0),2)="Cores",IF(HostBuild[Use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3" s="59">
        <f>IFERROR(IF(FIND(DO$1,$W83)&gt;0,IF(INDEX([1]!Product_Pricing_Table[#Data],MATCH(DO$1,Products,0),2)="Cores",IF(HostBuild[Use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3" s="59">
        <f>IFERROR(IF(FIND(DP$1,$W83)&gt;0,IF(INDEX([1]!Product_Pricing_Table[#Data],MATCH(DP$1,Products,0),2)="Cores",IF(HostBuild[Use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3" s="59">
        <f>IFERROR(IF(FIND(DQ$1,$W83)&gt;0,IF(INDEX([1]!Product_Pricing_Table[#Data],MATCH(DQ$1,Products,0),2)="Cores",IF(HostBuild[Use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3" s="59">
        <f>IFERROR(IF(FIND(DR$1,$W83)&gt;0,IF(INDEX([1]!Product_Pricing_Table[#Data],MATCH(DR$1,Products,0),2)="Cores",IF(HostBuild[Use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3" s="59">
        <f>IFERROR(IF(FIND(DS$1,$W83)&gt;0,IF(INDEX([1]!Product_Pricing_Table[#Data],MATCH(DS$1,Products,0),2)="Cores",IF(HostBuild[Use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3" s="59">
        <f>IFERROR(IF(FIND(DT$1,$W83)&gt;0,IF(INDEX([1]!Product_Pricing_Table[#Data],MATCH(DT$1,Products,0),2)="Cores",IF(HostBuild[Use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3" s="59">
        <f>IFERROR(IF(FIND(DU$1,$W83)&gt;0,IF(INDEX([1]!Product_Pricing_Table[#Data],MATCH(DU$1,Products,0),2)="Cores",IF(HostBuild[Use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3" s="59">
        <f>IFERROR(IF(FIND(DV$1,$W83)&gt;0,IF(INDEX([1]!Product_Pricing_Table[#Data],MATCH(DV$1,Products,0),2)="Cores",IF(HostBuild[Use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3" s="59">
        <f>IFERROR(IF(FIND(DW$1,$W83)&gt;0,IF(INDEX([1]!Product_Pricing_Table[#Data],MATCH(DW$1,Products,0),2)="Cores",IF(HostBuild[Use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3" s="59">
        <f>IFERROR(IF(FIND(DX$1,$W83)&gt;0,IF(INDEX([1]!Product_Pricing_Table[#Data],MATCH(DX$1,Products,0),2)="Cores",IF(HostBuild[Use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3" s="59">
        <f>IFERROR(IF(FIND(DY$1,$W83)&gt;0,IF(INDEX([1]!Product_Pricing_Table[#Data],MATCH(DY$1,Products,0),2)="Cores",IF(HostBuild[Use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3" s="59">
        <f>IFERROR(IF(FIND(DZ$1,$W83)&gt;0,IF(INDEX([1]!Product_Pricing_Table[#Data],MATCH(DZ$1,Products,0),2)="Cores",IF(HostBuild[Use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3" s="59">
        <f>IFERROR(IF(FIND(EA$1,$W83)&gt;0,IF(INDEX([1]!Product_Pricing_Table[#Data],MATCH(EA$1,Products,0),2)="Cores",IF(HostBuild[Use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3" s="59">
        <f>IFERROR(IF(FIND(EB$1,$W83)&gt;0,IF(INDEX([1]!Product_Pricing_Table[#Data],MATCH(EB$1,Products,0),2)="Cores",IF(HostBuild[Use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3" s="60">
        <f>IFERROR(IF(FIND(EC$1,$W83)&gt;0,IF(INDEX([1]!Product_Pricing_Table[#Data],MATCH(EC$1,Products,0),2)="Cores",IF(HostBuild[Use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3" s="59">
        <f>IFERROR(IF(FIND(ED$1,$W83)&gt;0,IF(INDEX([1]!Product_Pricing_Table[#Data],MATCH(ED$1,Products,0),2)="Cores",IF(HostBuild[Use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3" s="59">
        <f>IFERROR(IF(FIND(EE$1,$W83)&gt;0,IF(INDEX([1]!Product_Pricing_Table[#Data],MATCH(EE$1,Products,0),2)="Cores",IF(HostBuild[Use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3" s="59">
        <f>IFERROR(IF(FIND(EF$1,$W83)&gt;0,IF(INDEX([1]!Product_Pricing_Table[#Data],MATCH(EF$1,Products,0),2)="Cores",IF(HostBuild[Use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3" s="59">
        <f>IFERROR(IF(FIND(EG$1,$W83)&gt;0,IF(INDEX([1]!Product_Pricing_Table[#Data],MATCH(EG$1,Products,0),2)="Cores",IF(HostBuild[Use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3" s="59">
        <f>IFERROR(IF(FIND(EH$1,$W83)&gt;0,IF(INDEX([1]!Product_Pricing_Table[#Data],MATCH(EH$1,Products,0),2)="Cores",IF(HostBuild[Use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83" s="59">
        <f>IFERROR(IF(FIND(EI$1,$W83)&gt;0,IF(INDEX([1]!Product_Pricing_Table[#Data],MATCH(EI$1,Products,0),2)="Cores",IF(HostBuild[Use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3" s="59">
        <f>IFERROR(IF(FIND(EJ$1,$W83)&gt;0,IF(INDEX([1]!Product_Pricing_Table[#Data],MATCH(EJ$1,Products,0),2)="Cores",IF(HostBuild[Use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3" s="60">
        <f>IFERROR(IF(FIND(EK$1,$W83)&gt;0,IF(INDEX([1]!Product_Pricing_Table[#Data],MATCH(EK$1,Products,0),2)="Cores",IF(HostBuild[Use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3" s="61"/>
      <c r="EM83" s="62"/>
      <c r="EN83" s="63"/>
      <c r="EO83"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8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3" s="132">
        <f>(HostBuild[Archive
Full (GB)]+HostBuild[Archive
Incr (GB)])*Storage_DC_Dist_Tape_2014</f>
        <v>16.955312499999998</v>
      </c>
      <c r="ER83" s="132">
        <f>IF(ISNUMBER(HostBuild[Server HW Costs
(Monthly)]),SUM(HostBuild[[#This Row],[Server HW Costs
(Monthly)]:[Tape Costs
(Monthly)]]),0)</f>
        <v>92.780312500000008</v>
      </c>
      <c r="ES83" s="65">
        <f>HostBuild[Software Costs
'[Year 1']
(Monthly)]+HostBuild[Total Hardware Costs
(Monthly)]</f>
        <v>92.780312500000008</v>
      </c>
      <c r="ET83" s="65">
        <f>IFERROR(IF(FIND("Safenet",HostBuild[Server Model]),Safenet_PSE_PL600_Maint,0),0)+IFERROR(IF(FIND("XI52",HostBuild[Server Model]),IBM_DIA_XI52_Maint,0),0)+HostBuild[Software Costs
'[After Year 1']
(Monthly)]+HostBuild[Total Hardware Costs
(Monthly)]</f>
        <v>92.780312500000008</v>
      </c>
      <c r="EU83" s="66">
        <f>SUM(HostBuild[[#This Row],[Server Cost Breakdown]:[Network Cost]])</f>
        <v>0</v>
      </c>
      <c r="EV83" s="67">
        <f>IF(HostBuild[Existing Server?]="Yes - Inside this BoM",0,SUMIF(HostBuild[Alias],HostBuild[Alias],HostBuild[CPU])+SUMIF(HostBuild[Alias],HostBuild[Alias],HostBuild[Existing CPUs]))</f>
        <v>0</v>
      </c>
      <c r="EW83" s="67">
        <f>IF(HostBuild[Existing Server?]="Yes - Inside this BoM",0,SUMIF(HostBuild[Alias],HostBuild[Alias],HostBuild[Cores 
(Licensed Units)])+SUMIF(HostBuild[Alias],HostBuild[Alias],HostBuild[Existing Cores]))</f>
        <v>0</v>
      </c>
      <c r="EX83" s="67">
        <f>IF(HostBuild[Existing Server?]="Yes - Inside this BoM",0,SUMIF(HostBuild[Alias],HostBuild[Alias],HostBuild[RAM 
(GB)])+SUMIF(HostBuild[Alias],HostBuild[Alias],HostBuild[Existing RAM (GB)]))</f>
        <v>0</v>
      </c>
      <c r="EY8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3" s="66">
        <f>IF(ISBLANK(HostBuild[Server Model]),0,IF(HostBuild[Server Tier]="VMware",0,VLOOKUP(HostBuild[Server Tier],[1]!ServerTierRates[#Data],2,0))*HostBuild[CPU]*IF(AND(HostBuild[Server Type]="pSeries",HostBuild[Virtual Platform Storage Type]="Cloud-SAN"),0.25,1))</f>
        <v>0</v>
      </c>
      <c r="FD83" s="66">
        <f>0</f>
        <v>0</v>
      </c>
      <c r="FE83" s="66">
        <f>IF(HostBuild[Server Type]="VMware",HostBuild[RAM 
(GB)]*IF(ISERROR(FIND("DevCloud", HostBuild[Server Model])&gt;0),vRAM_per_vCPU_2014_Monthly,vRAM_per_vCPU_2014_Daily*30),0)</f>
        <v>0</v>
      </c>
      <c r="FF8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3" s="69">
        <f>IF(HostBuild[Server Tier]="VMware",0,IF(LEFT(HostBuild[Existing Server?],3)="Yes",0,IF(OR(HostBuild[Server Type]="Sun",HostBuild[Server Type]="pSeries"),Support_Direct_Server_Sun_per_OS_2014,IF(HostBuild[Server Type]="x86",Support_Direct_Server_x86_Wintel_per_OS_2014,0))))</f>
        <v>0</v>
      </c>
      <c r="FI8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4" spans="1:165" hidden="1">
      <c r="A84" s="122" t="s">
        <v>53</v>
      </c>
      <c r="B84" s="36"/>
      <c r="C84" s="36"/>
      <c r="D84" s="36"/>
      <c r="E84" s="37"/>
      <c r="F84" s="37"/>
      <c r="G84" s="103"/>
      <c r="H84" s="103"/>
      <c r="I84" s="38"/>
      <c r="J84" s="37"/>
      <c r="K84" s="37"/>
      <c r="L84" s="37"/>
      <c r="M84" s="103" t="e">
        <f ca="1">IF(rngIsDate(HostBuild[CTO Acceptance]),"Y","N")</f>
        <v>#NAME?</v>
      </c>
      <c r="N84" s="123" t="s">
        <v>3</v>
      </c>
      <c r="O84" s="39"/>
      <c r="P84" s="39"/>
      <c r="Q84" s="123" t="s">
        <v>1</v>
      </c>
      <c r="R84" s="126" t="str">
        <f>IF(NOT(ISBLANK(HostBuild[Env Label])),IFERROR(VLOOKUP(HostBuild[Env Label],[1]!tEnv[#Data],3,FALSE),""),"")</f>
        <v/>
      </c>
      <c r="S84" s="104"/>
      <c r="T84" s="40"/>
      <c r="U84" s="105"/>
      <c r="V84" s="123" t="s">
        <v>82</v>
      </c>
      <c r="W84" s="123" t="s">
        <v>83</v>
      </c>
      <c r="X84" s="123" t="s">
        <v>57</v>
      </c>
      <c r="Y84" s="123" t="s">
        <v>58</v>
      </c>
      <c r="Z84" s="126" t="str">
        <f>IF(NOT(ISBLANK(HostBuild[[#This Row],[Product 
(Acronym)]])),CONCATENATE(HostBuild[[#This Row],[Type]],"-",HostBuild[[#This Row],[Product 
(Acronym)]]),"")</f>
        <v>AP-ESB</v>
      </c>
      <c r="AA84" s="106"/>
      <c r="AB84" s="106" t="s">
        <v>171</v>
      </c>
      <c r="AC84" s="41"/>
      <c r="AD84" s="42"/>
      <c r="AE84" s="42"/>
      <c r="AF84" s="43"/>
      <c r="AG84" s="124"/>
      <c r="AH84" s="107"/>
      <c r="AI84" s="124" t="s">
        <v>167</v>
      </c>
      <c r="AJ84" s="123">
        <f>IF(COUNTIF(HostBuild[Alias],HostBuild[Alias]),1/COUNTIF(HostBuild[Alias],HostBuild[Alias]),0)</f>
        <v>1</v>
      </c>
      <c r="AK84" s="124"/>
      <c r="AL84" s="124"/>
      <c r="AM84" s="44" t="s">
        <v>62</v>
      </c>
      <c r="AN84" s="45" t="str">
        <f>IF(NOT(ISBLANK(HostBuild[Server Model])),VLOOKUP(HostBuild[Server Model],[1]!ServerModelsTier[#Data],2,FALSE),"")</f>
        <v>x86 Tier 3</v>
      </c>
      <c r="AO84" s="45" t="str">
        <f>IF(NOT(ISBLANK(HostBuild[Server Model])),VLOOKUP(HostBuild[Server Model],[1]!ServerModelsTier[#Data],5,FALSE),"")</f>
        <v>x86</v>
      </c>
      <c r="AP84" s="44"/>
      <c r="AQ84" s="44" t="s">
        <v>63</v>
      </c>
      <c r="AR84" s="46"/>
      <c r="AS84" s="108"/>
      <c r="AT84" s="47">
        <v>16</v>
      </c>
      <c r="AU84" s="109" t="str">
        <f>IF(IFERROR(FIND("P-Series",HostBuild[Server Tier]),0),CEILING((HostBuild[Existing CPUs]+HostBuild[CPU])*16,8),"")</f>
        <v/>
      </c>
      <c r="AV84" s="48"/>
      <c r="AW84" s="124"/>
      <c r="AX84" s="124"/>
      <c r="AY84" s="124"/>
      <c r="AZ84" s="49"/>
      <c r="BA84" s="124"/>
      <c r="BB84" s="124"/>
      <c r="BC84" s="42"/>
      <c r="BD84" s="124"/>
      <c r="BE84" s="124"/>
      <c r="BF84" s="124"/>
      <c r="BG84" s="124"/>
      <c r="BH84" s="124"/>
      <c r="BI84" s="124"/>
      <c r="BJ84" s="124"/>
      <c r="BK84"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84" s="127">
        <v>150</v>
      </c>
      <c r="BM84" s="129">
        <f>IF(ISNUMBER(HostBuild[Recommended SAN (GB)]),HostBuild[Recommended SAN (GB)])+IF(HostBuild[Additional SAN (GB)]&gt;0,CEILING(HostBuild[Additional SAN (GB)],LUN),-(CEILING(-HostBuild[Additional SAN (GB)],LUN)))</f>
        <v>168.5</v>
      </c>
      <c r="BN84" s="128"/>
      <c r="BO84" s="129">
        <f>HostBuild[SAN (GB)
NEEDED TODAY]+CEILING(HostBuild[SAN (GB)
RESERVED
DO NOT USE TO BUILD], LUN)</f>
        <v>168.5</v>
      </c>
      <c r="BP84" s="130"/>
      <c r="BQ84" s="131"/>
      <c r="BR84" s="125" t="s">
        <v>76</v>
      </c>
      <c r="BS84" s="110">
        <f>IF(HostBuild[Existing Server?]&lt;&gt;"Yes - Inside this BoM",IF(ISNUMBER(HostBuild[RAM 
(GB)]),IF(HostBuild[Existing RAM (GB)]+HostBuild[RAM 
(GB)]&gt;0,IF(HostBuild[Virtual Platform Storage Type]="NAS",110+HostBuild[Existing RAM (GB)]+HostBuild[RAM 
(GB)]*1.75,0),0),0),0)</f>
        <v>0</v>
      </c>
      <c r="BT84" s="111"/>
      <c r="BU84" s="112">
        <f>IF(ISNUMBER(HostBuild[Recommended NAS (GB)]),HostBuild[Recommended NAS (GB)])+HostBuild[Additional NAS (GB)]</f>
        <v>0</v>
      </c>
      <c r="BV84" s="50"/>
      <c r="BW84" s="50"/>
      <c r="BX84" s="133">
        <f>IFERROR((HostBuild[SAN (GB)
End-State
DO NOT USE TO BUILD]+HostBuild[SAN (GB) Shared])*25%,"")</f>
        <v>42.125</v>
      </c>
      <c r="BY84" s="113">
        <f>IFERROR(HostBuild[Archive
Full (GB)]*15%,"")</f>
        <v>6.3187499999999996</v>
      </c>
      <c r="BZ84" s="51"/>
      <c r="CA84" s="51"/>
      <c r="CB84" s="52"/>
      <c r="CC84" s="53"/>
      <c r="CD84" s="52"/>
      <c r="CE84" s="54"/>
      <c r="CF84" s="128"/>
      <c r="CG84" s="114"/>
      <c r="CH84" s="55"/>
      <c r="CI84" s="56"/>
      <c r="CJ84" s="57" t="s">
        <v>85</v>
      </c>
      <c r="CK84" s="58"/>
      <c r="CL84" s="59">
        <f>IFERROR(IF(FIND(CL$1,$W84)&gt;0,IF(INDEX([1]!Product_Pricing_Table[#Data],MATCH(CL$1,Products,0),2)="Cores",IF(HostBuild[Use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4" s="59">
        <f>IFERROR(IF(FIND(CM$1,$W84)&gt;0,IF(INDEX([1]!Product_Pricing_Table[#Data],MATCH(CM$1,Products,0),2)="Cores",IF(HostBuild[Use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4" s="59">
        <f>IFERROR(IF(FIND(CN$1,$W84)&gt;0,IF(INDEX([1]!Product_Pricing_Table[#Data],MATCH(CN$1,Products,0),2)="Cores",IF(HostBuild[Use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4" s="59">
        <f>IFERROR(IF(FIND(CO$1,$W84)&gt;0,IF(INDEX([1]!Product_Pricing_Table[#Data],MATCH(CO$1,Products,0),2)="Cores",IF(HostBuild[Use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4" s="59">
        <f>IFERROR(IF(FIND(CP$1,$W84)&gt;0,IF(INDEX([1]!Product_Pricing_Table[#Data],MATCH(CP$1,Products,0),2)="Cores",IF(HostBuild[Use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4" s="59">
        <f>IFERROR(IF(FIND(CQ$1,$W84)&gt;0,IF(INDEX([1]!Product_Pricing_Table[#Data],MATCH(CQ$1,Products,0),2)="Cores",IF(HostBuild[Use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4" s="59">
        <f>IFERROR(IF(FIND(CR$1,$W84)&gt;0,IF(INDEX([1]!Product_Pricing_Table[#Data],MATCH(CR$1,Products,0),2)="Cores",IF(HostBuild[Use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4" s="59">
        <f>IFERROR(IF(FIND(CS$1,$W84)&gt;0,IF(INDEX([1]!Product_Pricing_Table[#Data],MATCH(CS$1,Products,0),2)="Cores",IF(HostBuild[Use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4" s="59">
        <f>IFERROR(IF(FIND(CT$1,$W84)&gt;0,IF(INDEX([1]!Product_Pricing_Table[#Data],MATCH(CT$1,Products,0),2)="Cores",IF(HostBuild[Use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4" s="59">
        <f>IFERROR(IF(FIND(CU$1,$W84)&gt;0,IF(INDEX([1]!Product_Pricing_Table[#Data],MATCH(CU$1,Products,0),2)="Cores",IF(HostBuild[Use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4" s="59">
        <f>IFERROR(IF(FIND(CV$1,$W84)&gt;0,IF(INDEX([1]!Product_Pricing_Table[#Data],MATCH(CV$1,Products,0),2)="Cores",IF(HostBuild[Use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4" s="59">
        <f>IFERROR(IF(FIND(CW$1,$W84)&gt;0,IF(INDEX([1]!Product_Pricing_Table[#Data],MATCH(CW$1,Products,0),2)="Cores",IF(HostBuild[Use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4" s="59">
        <f>IFERROR(IF(FIND(CX$1,$W84)&gt;0,IF(INDEX([1]!Product_Pricing_Table[#Data],MATCH(CX$1,Products,0),2)="Cores",IF(HostBuild[Use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4" s="59">
        <f>IFERROR(IF(FIND(CY$1,$W84)&gt;0,IF(INDEX([1]!Product_Pricing_Table[#Data],MATCH(CY$1,Products,0),2)="Cores",IF(HostBuild[Use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4" s="59">
        <f>IFERROR(IF(FIND(CZ$1,$W84)&gt;0,IF(INDEX([1]!Product_Pricing_Table[#Data],MATCH(CZ$1,Products,0),2)="Cores",IF(HostBuild[Use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4" s="59">
        <f>IFERROR(IF(FIND(DA$1,$W84)&gt;0,IF(INDEX([1]!Product_Pricing_Table[#Data],MATCH(DA$1,Products,0),2)="Cores",IF(HostBuild[Use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4" s="59">
        <f>IFERROR(IF(FIND(DB$1,$W84)&gt;0,IF(INDEX([1]!Product_Pricing_Table[#Data],MATCH(DB$1,Products,0),2)="Cores",IF(HostBuild[Use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4" s="59">
        <f>IFERROR(IF(FIND(DC$1,$W84)&gt;0,IF(INDEX([1]!Product_Pricing_Table[#Data],MATCH(DC$1,Products,0),2)="Cores",IF(HostBuild[Use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4" s="59">
        <f>IFERROR(IF(FIND(DD$1,$W84)&gt;0,IF(INDEX([1]!Product_Pricing_Table[#Data],MATCH(DD$1,Products,0),2)="Cores",IF(HostBuild[Use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4" s="59">
        <f>IFERROR(IF(FIND(DE$1,$W84)&gt;0,IF(INDEX([1]!Product_Pricing_Table[#Data],MATCH(DE$1,Products,0),2)="Cores",IF(HostBuild[Use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4" s="60">
        <f>IFERROR(IF(FIND(DF$1,$W84)&gt;0,IF(INDEX([1]!Product_Pricing_Table[#Data],MATCH(DF$1,Products,0),2)="Cores",IF(HostBuild[Use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4" s="60">
        <f>IFERROR(IF(FIND(DG$1,$W84)&gt;0,IF(INDEX([1]!Product_Pricing_Table[#Data],MATCH(DG$1,Products,0),2)="Cores",IF(HostBuild[Use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4" s="59">
        <f>IFERROR(IF(FIND(DH$1,$W84)&gt;0,IF(INDEX([1]!Product_Pricing_Table[#Data],MATCH(DH$1,Products,0),2)="Cores",IF(HostBuild[Use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4" s="60">
        <f>IFERROR(IF(FIND(DI$1,$W84)&gt;0,IF(INDEX([1]!Product_Pricing_Table[#Data],MATCH(DI$1,Products,0),2)="Cores",IF(HostBuild[Use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4" s="59">
        <f>IFERROR(IF(FIND(DJ$1,$W84)&gt;0,IF(INDEX([1]!Product_Pricing_Table[#Data],MATCH(DJ$1,Products,0),2)="Cores",IF(HostBuild[Use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4" s="59">
        <f>IFERROR(IF(FIND(DK$1,$W84)&gt;0,IF(INDEX([1]!Product_Pricing_Table[#Data],MATCH(DK$1,Products,0),2)="Cores",IF(HostBuild[Use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4" s="59">
        <f>IFERROR(IF(FIND(DL$1,$W84)&gt;0,IF(INDEX([1]!Product_Pricing_Table[#Data],MATCH(DL$1,Products,0),2)="Cores",IF(HostBuild[Use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4" s="59">
        <f>IFERROR(IF(FIND(DM$1,$W84)&gt;0,IF(INDEX([1]!Product_Pricing_Table[#Data],MATCH(DM$1,Products,0),2)="Cores",IF(HostBuild[Use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4" s="59">
        <f>IFERROR(IF(FIND(DN$1,$W84)&gt;0,IF(INDEX([1]!Product_Pricing_Table[#Data],MATCH(DN$1,Products,0),2)="Cores",IF(HostBuild[Use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4" s="59">
        <f>IFERROR(IF(FIND(DO$1,$W84)&gt;0,IF(INDEX([1]!Product_Pricing_Table[#Data],MATCH(DO$1,Products,0),2)="Cores",IF(HostBuild[Use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4" s="59">
        <f>IFERROR(IF(FIND(DP$1,$W84)&gt;0,IF(INDEX([1]!Product_Pricing_Table[#Data],MATCH(DP$1,Products,0),2)="Cores",IF(HostBuild[Use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4" s="59">
        <f>IFERROR(IF(FIND(DQ$1,$W84)&gt;0,IF(INDEX([1]!Product_Pricing_Table[#Data],MATCH(DQ$1,Products,0),2)="Cores",IF(HostBuild[Use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4" s="59">
        <f>IFERROR(IF(FIND(DR$1,$W84)&gt;0,IF(INDEX([1]!Product_Pricing_Table[#Data],MATCH(DR$1,Products,0),2)="Cores",IF(HostBuild[Use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4" s="59">
        <f>IFERROR(IF(FIND(DS$1,$W84)&gt;0,IF(INDEX([1]!Product_Pricing_Table[#Data],MATCH(DS$1,Products,0),2)="Cores",IF(HostBuild[Use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4" s="59">
        <f>IFERROR(IF(FIND(DT$1,$W84)&gt;0,IF(INDEX([1]!Product_Pricing_Table[#Data],MATCH(DT$1,Products,0),2)="Cores",IF(HostBuild[Use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4" s="59">
        <f>IFERROR(IF(FIND(DU$1,$W84)&gt;0,IF(INDEX([1]!Product_Pricing_Table[#Data],MATCH(DU$1,Products,0),2)="Cores",IF(HostBuild[Use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4" s="59">
        <f>IFERROR(IF(FIND(DV$1,$W84)&gt;0,IF(INDEX([1]!Product_Pricing_Table[#Data],MATCH(DV$1,Products,0),2)="Cores",IF(HostBuild[Use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4" s="59">
        <f>IFERROR(IF(FIND(DW$1,$W84)&gt;0,IF(INDEX([1]!Product_Pricing_Table[#Data],MATCH(DW$1,Products,0),2)="Cores",IF(HostBuild[Use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4" s="59">
        <f>IFERROR(IF(FIND(DX$1,$W84)&gt;0,IF(INDEX([1]!Product_Pricing_Table[#Data],MATCH(DX$1,Products,0),2)="Cores",IF(HostBuild[Use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4" s="59">
        <f>IFERROR(IF(FIND(DY$1,$W84)&gt;0,IF(INDEX([1]!Product_Pricing_Table[#Data],MATCH(DY$1,Products,0),2)="Cores",IF(HostBuild[Use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4" s="59">
        <f>IFERROR(IF(FIND(DZ$1,$W84)&gt;0,IF(INDEX([1]!Product_Pricing_Table[#Data],MATCH(DZ$1,Products,0),2)="Cores",IF(HostBuild[Use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4" s="59">
        <f>IFERROR(IF(FIND(EA$1,$W84)&gt;0,IF(INDEX([1]!Product_Pricing_Table[#Data],MATCH(EA$1,Products,0),2)="Cores",IF(HostBuild[Use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4" s="59">
        <f>IFERROR(IF(FIND(EB$1,$W84)&gt;0,IF(INDEX([1]!Product_Pricing_Table[#Data],MATCH(EB$1,Products,0),2)="Cores",IF(HostBuild[Use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4" s="60">
        <f>IFERROR(IF(FIND(EC$1,$W84)&gt;0,IF(INDEX([1]!Product_Pricing_Table[#Data],MATCH(EC$1,Products,0),2)="Cores",IF(HostBuild[Use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4" s="59">
        <f>IFERROR(IF(FIND(ED$1,$W84)&gt;0,IF(INDEX([1]!Product_Pricing_Table[#Data],MATCH(ED$1,Products,0),2)="Cores",IF(HostBuild[Use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4" s="59">
        <f>IFERROR(IF(FIND(EE$1,$W84)&gt;0,IF(INDEX([1]!Product_Pricing_Table[#Data],MATCH(EE$1,Products,0),2)="Cores",IF(HostBuild[Use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4" s="59">
        <f>IFERROR(IF(FIND(EF$1,$W84)&gt;0,IF(INDEX([1]!Product_Pricing_Table[#Data],MATCH(EF$1,Products,0),2)="Cores",IF(HostBuild[Use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4" s="59">
        <f>IFERROR(IF(FIND(EG$1,$W84)&gt;0,IF(INDEX([1]!Product_Pricing_Table[#Data],MATCH(EG$1,Products,0),2)="Cores",IF(HostBuild[Use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4" s="59">
        <f>IFERROR(IF(FIND(EH$1,$W84)&gt;0,IF(INDEX([1]!Product_Pricing_Table[#Data],MATCH(EH$1,Products,0),2)="Cores",IF(HostBuild[Use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84" s="59">
        <f>IFERROR(IF(FIND(EI$1,$W84)&gt;0,IF(INDEX([1]!Product_Pricing_Table[#Data],MATCH(EI$1,Products,0),2)="Cores",IF(HostBuild[Use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4" s="59">
        <f>IFERROR(IF(FIND(EJ$1,$W84)&gt;0,IF(INDEX([1]!Product_Pricing_Table[#Data],MATCH(EJ$1,Products,0),2)="Cores",IF(HostBuild[Use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4" s="60">
        <f>IFERROR(IF(FIND(EK$1,$W84)&gt;0,IF(INDEX([1]!Product_Pricing_Table[#Data],MATCH(EK$1,Products,0),2)="Cores",IF(HostBuild[Use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4" s="61"/>
      <c r="EM84" s="62">
        <v>0</v>
      </c>
      <c r="EN84" s="63">
        <v>0</v>
      </c>
      <c r="EO84"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8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4" s="132">
        <f>(HostBuild[Archive
Full (GB)]+HostBuild[Archive
Incr (GB)])*Storage_DC_Dist_Tape_2014</f>
        <v>16.955312499999998</v>
      </c>
      <c r="ER84" s="132">
        <f>IF(ISNUMBER(HostBuild[Server HW Costs
(Monthly)]),SUM(HostBuild[[#This Row],[Server HW Costs
(Monthly)]:[Tape Costs
(Monthly)]]),0)</f>
        <v>92.780312500000008</v>
      </c>
      <c r="ES84" s="65">
        <f>HostBuild[Software Costs
'[Year 1']
(Monthly)]+HostBuild[Total Hardware Costs
(Monthly)]</f>
        <v>92.780312500000008</v>
      </c>
      <c r="ET84" s="65">
        <f>IFERROR(IF(FIND("Safenet",HostBuild[Server Model]),Safenet_PSE_PL600_Maint,0),0)+IFERROR(IF(FIND("XI52",HostBuild[Server Model]),IBM_DIA_XI52_Maint,0),0)+HostBuild[Software Costs
'[After Year 1']
(Monthly)]+HostBuild[Total Hardware Costs
(Monthly)]</f>
        <v>92.780312500000008</v>
      </c>
      <c r="EU84" s="66">
        <f>SUM(HostBuild[[#This Row],[Server Cost Breakdown]:[Network Cost]])</f>
        <v>0</v>
      </c>
      <c r="EV84" s="67">
        <f>IF(HostBuild[Existing Server?]="Yes - Inside this BoM",0,SUMIF(HostBuild[Alias],HostBuild[Alias],HostBuild[CPU])+SUMIF(HostBuild[Alias],HostBuild[Alias],HostBuild[Existing CPUs]))</f>
        <v>0</v>
      </c>
      <c r="EW84" s="67">
        <f>IF(HostBuild[Existing Server?]="Yes - Inside this BoM",0,SUMIF(HostBuild[Alias],HostBuild[Alias],HostBuild[Cores 
(Licensed Units)])+SUMIF(HostBuild[Alias],HostBuild[Alias],HostBuild[Existing Cores]))</f>
        <v>0</v>
      </c>
      <c r="EX84" s="67">
        <f>IF(HostBuild[Existing Server?]="Yes - Inside this BoM",0,SUMIF(HostBuild[Alias],HostBuild[Alias],HostBuild[RAM 
(GB)])+SUMIF(HostBuild[Alias],HostBuild[Alias],HostBuild[Existing RAM (GB)]))</f>
        <v>0</v>
      </c>
      <c r="EY8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4" s="66">
        <f>IF(ISBLANK(HostBuild[Server Model]),0,IF(HostBuild[Server Tier]="VMware",0,VLOOKUP(HostBuild[Server Tier],[1]!ServerTierRates[#Data],2,0))*HostBuild[CPU]*IF(AND(HostBuild[Server Type]="pSeries",HostBuild[Virtual Platform Storage Type]="Cloud-SAN"),0.25,1))</f>
        <v>0</v>
      </c>
      <c r="FD84" s="66">
        <f>0</f>
        <v>0</v>
      </c>
      <c r="FE84" s="66">
        <f>IF(HostBuild[Server Type]="VMware",HostBuild[RAM 
(GB)]*IF(ISERROR(FIND("DevCloud", HostBuild[Server Model])&gt;0),vRAM_per_vCPU_2014_Monthly,vRAM_per_vCPU_2014_Daily*30),0)</f>
        <v>0</v>
      </c>
      <c r="FF8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4" s="69">
        <f>IF(HostBuild[Server Tier]="VMware",0,IF(LEFT(HostBuild[Existing Server?],3)="Yes",0,IF(OR(HostBuild[Server Type]="Sun",HostBuild[Server Type]="pSeries"),Support_Direct_Server_Sun_per_OS_2014,IF(HostBuild[Server Type]="x86",Support_Direct_Server_x86_Wintel_per_OS_2014,0))))</f>
        <v>0</v>
      </c>
      <c r="FI8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5" spans="1:165" hidden="1">
      <c r="A85" s="122" t="s">
        <v>53</v>
      </c>
      <c r="B85" s="36"/>
      <c r="C85" s="36"/>
      <c r="D85" s="36"/>
      <c r="E85" s="37"/>
      <c r="F85" s="37"/>
      <c r="G85" s="103"/>
      <c r="H85" s="103"/>
      <c r="I85" s="38"/>
      <c r="J85" s="37"/>
      <c r="K85" s="37"/>
      <c r="L85" s="37"/>
      <c r="M85" s="103" t="e">
        <f ca="1">IF(rngIsDate(HostBuild[CTO Acceptance]),"Y","N")</f>
        <v>#NAME?</v>
      </c>
      <c r="N85" s="123" t="s">
        <v>3</v>
      </c>
      <c r="O85" s="39"/>
      <c r="P85" s="39"/>
      <c r="Q85" s="123" t="s">
        <v>1</v>
      </c>
      <c r="R85" s="126" t="str">
        <f>IF(NOT(ISBLANK(HostBuild[Env Label])),IFERROR(VLOOKUP(HostBuild[Env Label],[1]!tEnv[#Data],3,FALSE),""),"")</f>
        <v/>
      </c>
      <c r="S85" s="104"/>
      <c r="T85" s="40"/>
      <c r="U85" s="105"/>
      <c r="V85" s="123" t="s">
        <v>82</v>
      </c>
      <c r="W85" s="123" t="s">
        <v>83</v>
      </c>
      <c r="X85" s="123" t="s">
        <v>57</v>
      </c>
      <c r="Y85" s="123" t="s">
        <v>58</v>
      </c>
      <c r="Z85" s="126" t="str">
        <f>IF(NOT(ISBLANK(HostBuild[[#This Row],[Product 
(Acronym)]])),CONCATENATE(HostBuild[[#This Row],[Type]],"-",HostBuild[[#This Row],[Product 
(Acronym)]]),"")</f>
        <v>AP-ESB</v>
      </c>
      <c r="AA85" s="106"/>
      <c r="AB85" s="106" t="s">
        <v>171</v>
      </c>
      <c r="AC85" s="41"/>
      <c r="AD85" s="42"/>
      <c r="AE85" s="42"/>
      <c r="AF85" s="43"/>
      <c r="AG85" s="124"/>
      <c r="AH85" s="107"/>
      <c r="AI85" s="124" t="s">
        <v>168</v>
      </c>
      <c r="AJ85" s="123">
        <f>IF(COUNTIF(HostBuild[Alias],HostBuild[Alias]),1/COUNTIF(HostBuild[Alias],HostBuild[Alias]),0)</f>
        <v>1</v>
      </c>
      <c r="AK85" s="124"/>
      <c r="AL85" s="124"/>
      <c r="AM85" s="44" t="s">
        <v>62</v>
      </c>
      <c r="AN85" s="45" t="str">
        <f>IF(NOT(ISBLANK(HostBuild[Server Model])),VLOOKUP(HostBuild[Server Model],[1]!ServerModelsTier[#Data],2,FALSE),"")</f>
        <v>x86 Tier 3</v>
      </c>
      <c r="AO85" s="45" t="str">
        <f>IF(NOT(ISBLANK(HostBuild[Server Model])),VLOOKUP(HostBuild[Server Model],[1]!ServerModelsTier[#Data],5,FALSE),"")</f>
        <v>x86</v>
      </c>
      <c r="AP85" s="44"/>
      <c r="AQ85" s="44" t="s">
        <v>63</v>
      </c>
      <c r="AR85" s="46"/>
      <c r="AS85" s="108"/>
      <c r="AT85" s="47">
        <v>16</v>
      </c>
      <c r="AU85" s="109" t="str">
        <f>IF(IFERROR(FIND("P-Series",HostBuild[Server Tier]),0),CEILING((HostBuild[Existing CPUs]+HostBuild[CPU])*16,8),"")</f>
        <v/>
      </c>
      <c r="AV85" s="48"/>
      <c r="AW85" s="124"/>
      <c r="AX85" s="124"/>
      <c r="AY85" s="124"/>
      <c r="AZ85" s="49"/>
      <c r="BA85" s="124"/>
      <c r="BB85" s="124"/>
      <c r="BC85" s="42"/>
      <c r="BD85" s="124"/>
      <c r="BE85" s="124"/>
      <c r="BF85" s="124"/>
      <c r="BG85" s="124"/>
      <c r="BH85" s="124"/>
      <c r="BI85" s="124"/>
      <c r="BJ85" s="124"/>
      <c r="BK85"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85" s="127">
        <v>150</v>
      </c>
      <c r="BM85" s="129">
        <f>IF(ISNUMBER(HostBuild[Recommended SAN (GB)]),HostBuild[Recommended SAN (GB)])+IF(HostBuild[Additional SAN (GB)]&gt;0,CEILING(HostBuild[Additional SAN (GB)],LUN),-(CEILING(-HostBuild[Additional SAN (GB)],LUN)))</f>
        <v>168.5</v>
      </c>
      <c r="BN85" s="128"/>
      <c r="BO85" s="129">
        <f>HostBuild[SAN (GB)
NEEDED TODAY]+CEILING(HostBuild[SAN (GB)
RESERVED
DO NOT USE TO BUILD], LUN)</f>
        <v>168.5</v>
      </c>
      <c r="BP85" s="130"/>
      <c r="BQ85" s="131"/>
      <c r="BR85" s="125" t="s">
        <v>76</v>
      </c>
      <c r="BS85" s="110">
        <f>IF(HostBuild[Existing Server?]&lt;&gt;"Yes - Inside this BoM",IF(ISNUMBER(HostBuild[RAM 
(GB)]),IF(HostBuild[Existing RAM (GB)]+HostBuild[RAM 
(GB)]&gt;0,IF(HostBuild[Virtual Platform Storage Type]="NAS",110+HostBuild[Existing RAM (GB)]+HostBuild[RAM 
(GB)]*1.75,0),0),0),0)</f>
        <v>0</v>
      </c>
      <c r="BT85" s="111"/>
      <c r="BU85" s="112">
        <f>IF(ISNUMBER(HostBuild[Recommended NAS (GB)]),HostBuild[Recommended NAS (GB)])+HostBuild[Additional NAS (GB)]</f>
        <v>0</v>
      </c>
      <c r="BV85" s="50"/>
      <c r="BW85" s="50"/>
      <c r="BX85" s="133">
        <f>IFERROR((HostBuild[SAN (GB)
End-State
DO NOT USE TO BUILD]+HostBuild[SAN (GB) Shared])*25%,"")</f>
        <v>42.125</v>
      </c>
      <c r="BY85" s="113">
        <f>IFERROR(HostBuild[Archive
Full (GB)]*15%,"")</f>
        <v>6.3187499999999996</v>
      </c>
      <c r="BZ85" s="51"/>
      <c r="CA85" s="51"/>
      <c r="CB85" s="52"/>
      <c r="CC85" s="53"/>
      <c r="CD85" s="52"/>
      <c r="CE85" s="54"/>
      <c r="CF85" s="128"/>
      <c r="CG85" s="114"/>
      <c r="CH85" s="55"/>
      <c r="CI85" s="56"/>
      <c r="CJ85" s="57" t="s">
        <v>85</v>
      </c>
      <c r="CK85" s="58"/>
      <c r="CL85" s="59">
        <f>IFERROR(IF(FIND(CL$1,$W85)&gt;0,IF(INDEX([1]!Product_Pricing_Table[#Data],MATCH(CL$1,Products,0),2)="Cores",IF(HostBuild[Use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5" s="59">
        <f>IFERROR(IF(FIND(CM$1,$W85)&gt;0,IF(INDEX([1]!Product_Pricing_Table[#Data],MATCH(CM$1,Products,0),2)="Cores",IF(HostBuild[Use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5" s="59">
        <f>IFERROR(IF(FIND(CN$1,$W85)&gt;0,IF(INDEX([1]!Product_Pricing_Table[#Data],MATCH(CN$1,Products,0),2)="Cores",IF(HostBuild[Use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5" s="59">
        <f>IFERROR(IF(FIND(CO$1,$W85)&gt;0,IF(INDEX([1]!Product_Pricing_Table[#Data],MATCH(CO$1,Products,0),2)="Cores",IF(HostBuild[Use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5" s="59">
        <f>IFERROR(IF(FIND(CP$1,$W85)&gt;0,IF(INDEX([1]!Product_Pricing_Table[#Data],MATCH(CP$1,Products,0),2)="Cores",IF(HostBuild[Use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5" s="59">
        <f>IFERROR(IF(FIND(CQ$1,$W85)&gt;0,IF(INDEX([1]!Product_Pricing_Table[#Data],MATCH(CQ$1,Products,0),2)="Cores",IF(HostBuild[Use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5" s="59">
        <f>IFERROR(IF(FIND(CR$1,$W85)&gt;0,IF(INDEX([1]!Product_Pricing_Table[#Data],MATCH(CR$1,Products,0),2)="Cores",IF(HostBuild[Use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5" s="59">
        <f>IFERROR(IF(FIND(CS$1,$W85)&gt;0,IF(INDEX([1]!Product_Pricing_Table[#Data],MATCH(CS$1,Products,0),2)="Cores",IF(HostBuild[Use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5" s="59">
        <f>IFERROR(IF(FIND(CT$1,$W85)&gt;0,IF(INDEX([1]!Product_Pricing_Table[#Data],MATCH(CT$1,Products,0),2)="Cores",IF(HostBuild[Use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5" s="59">
        <f>IFERROR(IF(FIND(CU$1,$W85)&gt;0,IF(INDEX([1]!Product_Pricing_Table[#Data],MATCH(CU$1,Products,0),2)="Cores",IF(HostBuild[Use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5" s="59">
        <f>IFERROR(IF(FIND(CV$1,$W85)&gt;0,IF(INDEX([1]!Product_Pricing_Table[#Data],MATCH(CV$1,Products,0),2)="Cores",IF(HostBuild[Use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5" s="59">
        <f>IFERROR(IF(FIND(CW$1,$W85)&gt;0,IF(INDEX([1]!Product_Pricing_Table[#Data],MATCH(CW$1,Products,0),2)="Cores",IF(HostBuild[Use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5" s="59">
        <f>IFERROR(IF(FIND(CX$1,$W85)&gt;0,IF(INDEX([1]!Product_Pricing_Table[#Data],MATCH(CX$1,Products,0),2)="Cores",IF(HostBuild[Use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5" s="59">
        <f>IFERROR(IF(FIND(CY$1,$W85)&gt;0,IF(INDEX([1]!Product_Pricing_Table[#Data],MATCH(CY$1,Products,0),2)="Cores",IF(HostBuild[Use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5" s="59">
        <f>IFERROR(IF(FIND(CZ$1,$W85)&gt;0,IF(INDEX([1]!Product_Pricing_Table[#Data],MATCH(CZ$1,Products,0),2)="Cores",IF(HostBuild[Use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5" s="59">
        <f>IFERROR(IF(FIND(DA$1,$W85)&gt;0,IF(INDEX([1]!Product_Pricing_Table[#Data],MATCH(DA$1,Products,0),2)="Cores",IF(HostBuild[Use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5" s="59">
        <f>IFERROR(IF(FIND(DB$1,$W85)&gt;0,IF(INDEX([1]!Product_Pricing_Table[#Data],MATCH(DB$1,Products,0),2)="Cores",IF(HostBuild[Use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5" s="59">
        <f>IFERROR(IF(FIND(DC$1,$W85)&gt;0,IF(INDEX([1]!Product_Pricing_Table[#Data],MATCH(DC$1,Products,0),2)="Cores",IF(HostBuild[Use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5" s="59">
        <f>IFERROR(IF(FIND(DD$1,$W85)&gt;0,IF(INDEX([1]!Product_Pricing_Table[#Data],MATCH(DD$1,Products,0),2)="Cores",IF(HostBuild[Use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5" s="59">
        <f>IFERROR(IF(FIND(DE$1,$W85)&gt;0,IF(INDEX([1]!Product_Pricing_Table[#Data],MATCH(DE$1,Products,0),2)="Cores",IF(HostBuild[Use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5" s="60">
        <f>IFERROR(IF(FIND(DF$1,$W85)&gt;0,IF(INDEX([1]!Product_Pricing_Table[#Data],MATCH(DF$1,Products,0),2)="Cores",IF(HostBuild[Use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5" s="60">
        <f>IFERROR(IF(FIND(DG$1,$W85)&gt;0,IF(INDEX([1]!Product_Pricing_Table[#Data],MATCH(DG$1,Products,0),2)="Cores",IF(HostBuild[Use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5" s="59">
        <f>IFERROR(IF(FIND(DH$1,$W85)&gt;0,IF(INDEX([1]!Product_Pricing_Table[#Data],MATCH(DH$1,Products,0),2)="Cores",IF(HostBuild[Use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5" s="60">
        <f>IFERROR(IF(FIND(DI$1,$W85)&gt;0,IF(INDEX([1]!Product_Pricing_Table[#Data],MATCH(DI$1,Products,0),2)="Cores",IF(HostBuild[Use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5" s="59">
        <f>IFERROR(IF(FIND(DJ$1,$W85)&gt;0,IF(INDEX([1]!Product_Pricing_Table[#Data],MATCH(DJ$1,Products,0),2)="Cores",IF(HostBuild[Use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5" s="59">
        <f>IFERROR(IF(FIND(DK$1,$W85)&gt;0,IF(INDEX([1]!Product_Pricing_Table[#Data],MATCH(DK$1,Products,0),2)="Cores",IF(HostBuild[Use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5" s="59">
        <f>IFERROR(IF(FIND(DL$1,$W85)&gt;0,IF(INDEX([1]!Product_Pricing_Table[#Data],MATCH(DL$1,Products,0),2)="Cores",IF(HostBuild[Use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5" s="59">
        <f>IFERROR(IF(FIND(DM$1,$W85)&gt;0,IF(INDEX([1]!Product_Pricing_Table[#Data],MATCH(DM$1,Products,0),2)="Cores",IF(HostBuild[Use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5" s="59">
        <f>IFERROR(IF(FIND(DN$1,$W85)&gt;0,IF(INDEX([1]!Product_Pricing_Table[#Data],MATCH(DN$1,Products,0),2)="Cores",IF(HostBuild[Use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5" s="59">
        <f>IFERROR(IF(FIND(DO$1,$W85)&gt;0,IF(INDEX([1]!Product_Pricing_Table[#Data],MATCH(DO$1,Products,0),2)="Cores",IF(HostBuild[Use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5" s="59">
        <f>IFERROR(IF(FIND(DP$1,$W85)&gt;0,IF(INDEX([1]!Product_Pricing_Table[#Data],MATCH(DP$1,Products,0),2)="Cores",IF(HostBuild[Use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5" s="59">
        <f>IFERROR(IF(FIND(DQ$1,$W85)&gt;0,IF(INDEX([1]!Product_Pricing_Table[#Data],MATCH(DQ$1,Products,0),2)="Cores",IF(HostBuild[Use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5" s="59">
        <f>IFERROR(IF(FIND(DR$1,$W85)&gt;0,IF(INDEX([1]!Product_Pricing_Table[#Data],MATCH(DR$1,Products,0),2)="Cores",IF(HostBuild[Use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5" s="59">
        <f>IFERROR(IF(FIND(DS$1,$W85)&gt;0,IF(INDEX([1]!Product_Pricing_Table[#Data],MATCH(DS$1,Products,0),2)="Cores",IF(HostBuild[Use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5" s="59">
        <f>IFERROR(IF(FIND(DT$1,$W85)&gt;0,IF(INDEX([1]!Product_Pricing_Table[#Data],MATCH(DT$1,Products,0),2)="Cores",IF(HostBuild[Use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5" s="59">
        <f>IFERROR(IF(FIND(DU$1,$W85)&gt;0,IF(INDEX([1]!Product_Pricing_Table[#Data],MATCH(DU$1,Products,0),2)="Cores",IF(HostBuild[Use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5" s="59">
        <f>IFERROR(IF(FIND(DV$1,$W85)&gt;0,IF(INDEX([1]!Product_Pricing_Table[#Data],MATCH(DV$1,Products,0),2)="Cores",IF(HostBuild[Use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5" s="59">
        <f>IFERROR(IF(FIND(DW$1,$W85)&gt;0,IF(INDEX([1]!Product_Pricing_Table[#Data],MATCH(DW$1,Products,0),2)="Cores",IF(HostBuild[Use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5" s="59">
        <f>IFERROR(IF(FIND(DX$1,$W85)&gt;0,IF(INDEX([1]!Product_Pricing_Table[#Data],MATCH(DX$1,Products,0),2)="Cores",IF(HostBuild[Use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5" s="59">
        <f>IFERROR(IF(FIND(DY$1,$W85)&gt;0,IF(INDEX([1]!Product_Pricing_Table[#Data],MATCH(DY$1,Products,0),2)="Cores",IF(HostBuild[Use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5" s="59">
        <f>IFERROR(IF(FIND(DZ$1,$W85)&gt;0,IF(INDEX([1]!Product_Pricing_Table[#Data],MATCH(DZ$1,Products,0),2)="Cores",IF(HostBuild[Use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5" s="59">
        <f>IFERROR(IF(FIND(EA$1,$W85)&gt;0,IF(INDEX([1]!Product_Pricing_Table[#Data],MATCH(EA$1,Products,0),2)="Cores",IF(HostBuild[Use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5" s="59">
        <f>IFERROR(IF(FIND(EB$1,$W85)&gt;0,IF(INDEX([1]!Product_Pricing_Table[#Data],MATCH(EB$1,Products,0),2)="Cores",IF(HostBuild[Use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5" s="60">
        <f>IFERROR(IF(FIND(EC$1,$W85)&gt;0,IF(INDEX([1]!Product_Pricing_Table[#Data],MATCH(EC$1,Products,0),2)="Cores",IF(HostBuild[Use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5" s="59">
        <f>IFERROR(IF(FIND(ED$1,$W85)&gt;0,IF(INDEX([1]!Product_Pricing_Table[#Data],MATCH(ED$1,Products,0),2)="Cores",IF(HostBuild[Use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5" s="59">
        <f>IFERROR(IF(FIND(EE$1,$W85)&gt;0,IF(INDEX([1]!Product_Pricing_Table[#Data],MATCH(EE$1,Products,0),2)="Cores",IF(HostBuild[Use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5" s="59">
        <f>IFERROR(IF(FIND(EF$1,$W85)&gt;0,IF(INDEX([1]!Product_Pricing_Table[#Data],MATCH(EF$1,Products,0),2)="Cores",IF(HostBuild[Use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5" s="59">
        <f>IFERROR(IF(FIND(EG$1,$W85)&gt;0,IF(INDEX([1]!Product_Pricing_Table[#Data],MATCH(EG$1,Products,0),2)="Cores",IF(HostBuild[Use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5" s="59">
        <f>IFERROR(IF(FIND(EH$1,$W85)&gt;0,IF(INDEX([1]!Product_Pricing_Table[#Data],MATCH(EH$1,Products,0),2)="Cores",IF(HostBuild[Use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85" s="59">
        <f>IFERROR(IF(FIND(EI$1,$W85)&gt;0,IF(INDEX([1]!Product_Pricing_Table[#Data],MATCH(EI$1,Products,0),2)="Cores",IF(HostBuild[Use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5" s="59">
        <f>IFERROR(IF(FIND(EJ$1,$W85)&gt;0,IF(INDEX([1]!Product_Pricing_Table[#Data],MATCH(EJ$1,Products,0),2)="Cores",IF(HostBuild[Use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5" s="60">
        <f>IFERROR(IF(FIND(EK$1,$W85)&gt;0,IF(INDEX([1]!Product_Pricing_Table[#Data],MATCH(EK$1,Products,0),2)="Cores",IF(HostBuild[Use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5" s="61"/>
      <c r="EM85" s="62">
        <v>0</v>
      </c>
      <c r="EN85" s="63">
        <v>0</v>
      </c>
      <c r="EO85"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8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5" s="132">
        <f>(HostBuild[Archive
Full (GB)]+HostBuild[Archive
Incr (GB)])*Storage_DC_Dist_Tape_2014</f>
        <v>16.955312499999998</v>
      </c>
      <c r="ER85" s="132">
        <f>IF(ISNUMBER(HostBuild[Server HW Costs
(Monthly)]),SUM(HostBuild[[#This Row],[Server HW Costs
(Monthly)]:[Tape Costs
(Monthly)]]),0)</f>
        <v>92.780312500000008</v>
      </c>
      <c r="ES85" s="65">
        <f>HostBuild[Software Costs
'[Year 1']
(Monthly)]+HostBuild[Total Hardware Costs
(Monthly)]</f>
        <v>92.780312500000008</v>
      </c>
      <c r="ET85" s="65">
        <f>IFERROR(IF(FIND("Safenet",HostBuild[Server Model]),Safenet_PSE_PL600_Maint,0),0)+IFERROR(IF(FIND("XI52",HostBuild[Server Model]),IBM_DIA_XI52_Maint,0),0)+HostBuild[Software Costs
'[After Year 1']
(Monthly)]+HostBuild[Total Hardware Costs
(Monthly)]</f>
        <v>92.780312500000008</v>
      </c>
      <c r="EU85" s="66">
        <f>SUM(HostBuild[[#This Row],[Server Cost Breakdown]:[Network Cost]])</f>
        <v>0</v>
      </c>
      <c r="EV85" s="67">
        <f>IF(HostBuild[Existing Server?]="Yes - Inside this BoM",0,SUMIF(HostBuild[Alias],HostBuild[Alias],HostBuild[CPU])+SUMIF(HostBuild[Alias],HostBuild[Alias],HostBuild[Existing CPUs]))</f>
        <v>0</v>
      </c>
      <c r="EW85" s="67">
        <f>IF(HostBuild[Existing Server?]="Yes - Inside this BoM",0,SUMIF(HostBuild[Alias],HostBuild[Alias],HostBuild[Cores 
(Licensed Units)])+SUMIF(HostBuild[Alias],HostBuild[Alias],HostBuild[Existing Cores]))</f>
        <v>0</v>
      </c>
      <c r="EX85" s="67">
        <f>IF(HostBuild[Existing Server?]="Yes - Inside this BoM",0,SUMIF(HostBuild[Alias],HostBuild[Alias],HostBuild[RAM 
(GB)])+SUMIF(HostBuild[Alias],HostBuild[Alias],HostBuild[Existing RAM (GB)]))</f>
        <v>0</v>
      </c>
      <c r="EY8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5" s="66">
        <f>IF(ISBLANK(HostBuild[Server Model]),0,IF(HostBuild[Server Tier]="VMware",0,VLOOKUP(HostBuild[Server Tier],[1]!ServerTierRates[#Data],2,0))*HostBuild[CPU]*IF(AND(HostBuild[Server Type]="pSeries",HostBuild[Virtual Platform Storage Type]="Cloud-SAN"),0.25,1))</f>
        <v>0</v>
      </c>
      <c r="FD85" s="66">
        <f>0</f>
        <v>0</v>
      </c>
      <c r="FE85" s="66">
        <f>IF(HostBuild[Server Type]="VMware",HostBuild[RAM 
(GB)]*IF(ISERROR(FIND("DevCloud", HostBuild[Server Model])&gt;0),vRAM_per_vCPU_2014_Monthly,vRAM_per_vCPU_2014_Daily*30),0)</f>
        <v>0</v>
      </c>
      <c r="FF8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5" s="69">
        <f>IF(HostBuild[Server Tier]="VMware",0,IF(LEFT(HostBuild[Existing Server?],3)="Yes",0,IF(OR(HostBuild[Server Type]="Sun",HostBuild[Server Type]="pSeries"),Support_Direct_Server_Sun_per_OS_2014,IF(HostBuild[Server Type]="x86",Support_Direct_Server_x86_Wintel_per_OS_2014,0))))</f>
        <v>0</v>
      </c>
      <c r="FI8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6" spans="1:165" hidden="1">
      <c r="A86" s="122" t="s">
        <v>53</v>
      </c>
      <c r="B86" s="36"/>
      <c r="C86" s="36"/>
      <c r="D86" s="36"/>
      <c r="E86" s="37"/>
      <c r="F86" s="37"/>
      <c r="G86" s="103"/>
      <c r="H86" s="103"/>
      <c r="I86" s="38"/>
      <c r="J86" s="37"/>
      <c r="K86" s="37"/>
      <c r="L86" s="37"/>
      <c r="M86" s="103" t="e">
        <f ca="1">IF(rngIsDate(HostBuild[CTO Acceptance]),"Y","N")</f>
        <v>#NAME?</v>
      </c>
      <c r="N86" s="123" t="s">
        <v>3</v>
      </c>
      <c r="O86" s="39"/>
      <c r="P86" s="39"/>
      <c r="Q86" s="123" t="s">
        <v>1</v>
      </c>
      <c r="R86" s="126" t="str">
        <f>IF(NOT(ISBLANK(HostBuild[Env Label])),IFERROR(VLOOKUP(HostBuild[Env Label],[1]!tEnv[#Data],3,FALSE),""),"")</f>
        <v/>
      </c>
      <c r="S86" s="104"/>
      <c r="T86" s="40"/>
      <c r="U86" s="105"/>
      <c r="V86" s="123" t="s">
        <v>82</v>
      </c>
      <c r="W86" s="123" t="s">
        <v>83</v>
      </c>
      <c r="X86" s="123" t="s">
        <v>57</v>
      </c>
      <c r="Y86" s="123" t="s">
        <v>58</v>
      </c>
      <c r="Z86" s="126" t="str">
        <f>IF(NOT(ISBLANK(HostBuild[[#This Row],[Product 
(Acronym)]])),CONCATENATE(HostBuild[[#This Row],[Type]],"-",HostBuild[[#This Row],[Product 
(Acronym)]]),"")</f>
        <v>AP-ESB</v>
      </c>
      <c r="AA86" s="106"/>
      <c r="AB86" s="106" t="s">
        <v>171</v>
      </c>
      <c r="AC86" s="41"/>
      <c r="AD86" s="42"/>
      <c r="AE86" s="42"/>
      <c r="AF86" s="43"/>
      <c r="AG86" s="124"/>
      <c r="AH86" s="107"/>
      <c r="AI86" s="124" t="s">
        <v>169</v>
      </c>
      <c r="AJ86" s="123">
        <f>IF(COUNTIF(HostBuild[Alias],HostBuild[Alias]),1/COUNTIF(HostBuild[Alias],HostBuild[Alias]),0)</f>
        <v>1</v>
      </c>
      <c r="AK86" s="124"/>
      <c r="AL86" s="124"/>
      <c r="AM86" s="44" t="s">
        <v>62</v>
      </c>
      <c r="AN86" s="45" t="str">
        <f>IF(NOT(ISBLANK(HostBuild[Server Model])),VLOOKUP(HostBuild[Server Model],[1]!ServerModelsTier[#Data],2,FALSE),"")</f>
        <v>x86 Tier 3</v>
      </c>
      <c r="AO86" s="45" t="str">
        <f>IF(NOT(ISBLANK(HostBuild[Server Model])),VLOOKUP(HostBuild[Server Model],[1]!ServerModelsTier[#Data],5,FALSE),"")</f>
        <v>x86</v>
      </c>
      <c r="AP86" s="44"/>
      <c r="AQ86" s="44" t="s">
        <v>63</v>
      </c>
      <c r="AR86" s="46"/>
      <c r="AS86" s="108"/>
      <c r="AT86" s="47">
        <v>16</v>
      </c>
      <c r="AU86" s="109" t="str">
        <f>IF(IFERROR(FIND("P-Series",HostBuild[Server Tier]),0),CEILING((HostBuild[Existing CPUs]+HostBuild[CPU])*16,8),"")</f>
        <v/>
      </c>
      <c r="AV86" s="48"/>
      <c r="AW86" s="124"/>
      <c r="AX86" s="124"/>
      <c r="AY86" s="124"/>
      <c r="AZ86" s="49"/>
      <c r="BA86" s="124"/>
      <c r="BB86" s="124"/>
      <c r="BC86" s="42"/>
      <c r="BD86" s="124"/>
      <c r="BE86" s="124"/>
      <c r="BF86" s="124"/>
      <c r="BG86" s="124"/>
      <c r="BH86" s="124"/>
      <c r="BI86" s="124"/>
      <c r="BJ86" s="124"/>
      <c r="BK86"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86" s="127">
        <v>150</v>
      </c>
      <c r="BM86" s="129">
        <f>IF(ISNUMBER(HostBuild[Recommended SAN (GB)]),HostBuild[Recommended SAN (GB)])+IF(HostBuild[Additional SAN (GB)]&gt;0,CEILING(HostBuild[Additional SAN (GB)],LUN),-(CEILING(-HostBuild[Additional SAN (GB)],LUN)))</f>
        <v>168.5</v>
      </c>
      <c r="BN86" s="128"/>
      <c r="BO86" s="129">
        <f>HostBuild[SAN (GB)
NEEDED TODAY]+CEILING(HostBuild[SAN (GB)
RESERVED
DO NOT USE TO BUILD], LUN)</f>
        <v>168.5</v>
      </c>
      <c r="BP86" s="130">
        <v>100</v>
      </c>
      <c r="BQ86" s="131"/>
      <c r="BR86" s="125" t="s">
        <v>76</v>
      </c>
      <c r="BS86" s="110">
        <f>IF(HostBuild[Existing Server?]&lt;&gt;"Yes - Inside this BoM",IF(ISNUMBER(HostBuild[RAM 
(GB)]),IF(HostBuild[Existing RAM (GB)]+HostBuild[RAM 
(GB)]&gt;0,IF(HostBuild[Virtual Platform Storage Type]="NAS",110+HostBuild[Existing RAM (GB)]+HostBuild[RAM 
(GB)]*1.75,0),0),0),0)</f>
        <v>0</v>
      </c>
      <c r="BT86" s="111"/>
      <c r="BU86" s="112">
        <f>IF(ISNUMBER(HostBuild[Recommended NAS (GB)]),HostBuild[Recommended NAS (GB)])+HostBuild[Additional NAS (GB)]</f>
        <v>0</v>
      </c>
      <c r="BV86" s="50"/>
      <c r="BW86" s="50"/>
      <c r="BX86" s="133">
        <f>IFERROR((HostBuild[SAN (GB)
End-State
DO NOT USE TO BUILD]+HostBuild[SAN (GB) Shared])*25%,"")</f>
        <v>67.125</v>
      </c>
      <c r="BY86" s="113">
        <f>IFERROR(HostBuild[Archive
Full (GB)]*15%,"")</f>
        <v>10.06875</v>
      </c>
      <c r="BZ86" s="51"/>
      <c r="CA86" s="51"/>
      <c r="CB86" s="52"/>
      <c r="CC86" s="53"/>
      <c r="CD86" s="52"/>
      <c r="CE86" s="54"/>
      <c r="CF86" s="128"/>
      <c r="CG86" s="114"/>
      <c r="CH86" s="55"/>
      <c r="CI86" s="56"/>
      <c r="CJ86" s="57" t="s">
        <v>85</v>
      </c>
      <c r="CK86" s="58"/>
      <c r="CL86" s="59">
        <f>IFERROR(IF(FIND(CL$1,$W86)&gt;0,IF(INDEX([1]!Product_Pricing_Table[#Data],MATCH(CL$1,Products,0),2)="Cores",IF(HostBuild[Use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6" s="59">
        <f>IFERROR(IF(FIND(CM$1,$W86)&gt;0,IF(INDEX([1]!Product_Pricing_Table[#Data],MATCH(CM$1,Products,0),2)="Cores",IF(HostBuild[Use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6" s="59">
        <f>IFERROR(IF(FIND(CN$1,$W86)&gt;0,IF(INDEX([1]!Product_Pricing_Table[#Data],MATCH(CN$1,Products,0),2)="Cores",IF(HostBuild[Use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6" s="59">
        <f>IFERROR(IF(FIND(CO$1,$W86)&gt;0,IF(INDEX([1]!Product_Pricing_Table[#Data],MATCH(CO$1,Products,0),2)="Cores",IF(HostBuild[Use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6" s="59">
        <f>IFERROR(IF(FIND(CP$1,$W86)&gt;0,IF(INDEX([1]!Product_Pricing_Table[#Data],MATCH(CP$1,Products,0),2)="Cores",IF(HostBuild[Use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6" s="59">
        <f>IFERROR(IF(FIND(CQ$1,$W86)&gt;0,IF(INDEX([1]!Product_Pricing_Table[#Data],MATCH(CQ$1,Products,0),2)="Cores",IF(HostBuild[Use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6" s="59">
        <f>IFERROR(IF(FIND(CR$1,$W86)&gt;0,IF(INDEX([1]!Product_Pricing_Table[#Data],MATCH(CR$1,Products,0),2)="Cores",IF(HostBuild[Use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6" s="59">
        <f>IFERROR(IF(FIND(CS$1,$W86)&gt;0,IF(INDEX([1]!Product_Pricing_Table[#Data],MATCH(CS$1,Products,0),2)="Cores",IF(HostBuild[Use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6" s="59">
        <f>IFERROR(IF(FIND(CT$1,$W86)&gt;0,IF(INDEX([1]!Product_Pricing_Table[#Data],MATCH(CT$1,Products,0),2)="Cores",IF(HostBuild[Use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6" s="59">
        <f>IFERROR(IF(FIND(CU$1,$W86)&gt;0,IF(INDEX([1]!Product_Pricing_Table[#Data],MATCH(CU$1,Products,0),2)="Cores",IF(HostBuild[Use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6" s="59">
        <f>IFERROR(IF(FIND(CV$1,$W86)&gt;0,IF(INDEX([1]!Product_Pricing_Table[#Data],MATCH(CV$1,Products,0),2)="Cores",IF(HostBuild[Use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6" s="59">
        <f>IFERROR(IF(FIND(CW$1,$W86)&gt;0,IF(INDEX([1]!Product_Pricing_Table[#Data],MATCH(CW$1,Products,0),2)="Cores",IF(HostBuild[Use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6" s="59">
        <f>IFERROR(IF(FIND(CX$1,$W86)&gt;0,IF(INDEX([1]!Product_Pricing_Table[#Data],MATCH(CX$1,Products,0),2)="Cores",IF(HostBuild[Use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6" s="59">
        <f>IFERROR(IF(FIND(CY$1,$W86)&gt;0,IF(INDEX([1]!Product_Pricing_Table[#Data],MATCH(CY$1,Products,0),2)="Cores",IF(HostBuild[Use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6" s="59">
        <f>IFERROR(IF(FIND(CZ$1,$W86)&gt;0,IF(INDEX([1]!Product_Pricing_Table[#Data],MATCH(CZ$1,Products,0),2)="Cores",IF(HostBuild[Use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6" s="59">
        <f>IFERROR(IF(FIND(DA$1,$W86)&gt;0,IF(INDEX([1]!Product_Pricing_Table[#Data],MATCH(DA$1,Products,0),2)="Cores",IF(HostBuild[Use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6" s="59">
        <f>IFERROR(IF(FIND(DB$1,$W86)&gt;0,IF(INDEX([1]!Product_Pricing_Table[#Data],MATCH(DB$1,Products,0),2)="Cores",IF(HostBuild[Use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6" s="59">
        <f>IFERROR(IF(FIND(DC$1,$W86)&gt;0,IF(INDEX([1]!Product_Pricing_Table[#Data],MATCH(DC$1,Products,0),2)="Cores",IF(HostBuild[Use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6" s="59">
        <f>IFERROR(IF(FIND(DD$1,$W86)&gt;0,IF(INDEX([1]!Product_Pricing_Table[#Data],MATCH(DD$1,Products,0),2)="Cores",IF(HostBuild[Use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6" s="59">
        <f>IFERROR(IF(FIND(DE$1,$W86)&gt;0,IF(INDEX([1]!Product_Pricing_Table[#Data],MATCH(DE$1,Products,0),2)="Cores",IF(HostBuild[Use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6" s="60">
        <f>IFERROR(IF(FIND(DF$1,$W86)&gt;0,IF(INDEX([1]!Product_Pricing_Table[#Data],MATCH(DF$1,Products,0),2)="Cores",IF(HostBuild[Use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6" s="60">
        <f>IFERROR(IF(FIND(DG$1,$W86)&gt;0,IF(INDEX([1]!Product_Pricing_Table[#Data],MATCH(DG$1,Products,0),2)="Cores",IF(HostBuild[Use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6" s="59">
        <f>IFERROR(IF(FIND(DH$1,$W86)&gt;0,IF(INDEX([1]!Product_Pricing_Table[#Data],MATCH(DH$1,Products,0),2)="Cores",IF(HostBuild[Use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6" s="60">
        <f>IFERROR(IF(FIND(DI$1,$W86)&gt;0,IF(INDEX([1]!Product_Pricing_Table[#Data],MATCH(DI$1,Products,0),2)="Cores",IF(HostBuild[Use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6" s="59">
        <f>IFERROR(IF(FIND(DJ$1,$W86)&gt;0,IF(INDEX([1]!Product_Pricing_Table[#Data],MATCH(DJ$1,Products,0),2)="Cores",IF(HostBuild[Use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6" s="59">
        <f>IFERROR(IF(FIND(DK$1,$W86)&gt;0,IF(INDEX([1]!Product_Pricing_Table[#Data],MATCH(DK$1,Products,0),2)="Cores",IF(HostBuild[Use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6" s="59">
        <f>IFERROR(IF(FIND(DL$1,$W86)&gt;0,IF(INDEX([1]!Product_Pricing_Table[#Data],MATCH(DL$1,Products,0),2)="Cores",IF(HostBuild[Use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6" s="59">
        <f>IFERROR(IF(FIND(DM$1,$W86)&gt;0,IF(INDEX([1]!Product_Pricing_Table[#Data],MATCH(DM$1,Products,0),2)="Cores",IF(HostBuild[Use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6" s="59">
        <f>IFERROR(IF(FIND(DN$1,$W86)&gt;0,IF(INDEX([1]!Product_Pricing_Table[#Data],MATCH(DN$1,Products,0),2)="Cores",IF(HostBuild[Use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6" s="59">
        <f>IFERROR(IF(FIND(DO$1,$W86)&gt;0,IF(INDEX([1]!Product_Pricing_Table[#Data],MATCH(DO$1,Products,0),2)="Cores",IF(HostBuild[Use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6" s="59">
        <f>IFERROR(IF(FIND(DP$1,$W86)&gt;0,IF(INDEX([1]!Product_Pricing_Table[#Data],MATCH(DP$1,Products,0),2)="Cores",IF(HostBuild[Use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6" s="59">
        <f>IFERROR(IF(FIND(DQ$1,$W86)&gt;0,IF(INDEX([1]!Product_Pricing_Table[#Data],MATCH(DQ$1,Products,0),2)="Cores",IF(HostBuild[Use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6" s="59">
        <f>IFERROR(IF(FIND(DR$1,$W86)&gt;0,IF(INDEX([1]!Product_Pricing_Table[#Data],MATCH(DR$1,Products,0),2)="Cores",IF(HostBuild[Use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6" s="59">
        <f>IFERROR(IF(FIND(DS$1,$W86)&gt;0,IF(INDEX([1]!Product_Pricing_Table[#Data],MATCH(DS$1,Products,0),2)="Cores",IF(HostBuild[Use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6" s="59">
        <f>IFERROR(IF(FIND(DT$1,$W86)&gt;0,IF(INDEX([1]!Product_Pricing_Table[#Data],MATCH(DT$1,Products,0),2)="Cores",IF(HostBuild[Use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6" s="59">
        <f>IFERROR(IF(FIND(DU$1,$W86)&gt;0,IF(INDEX([1]!Product_Pricing_Table[#Data],MATCH(DU$1,Products,0),2)="Cores",IF(HostBuild[Use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6" s="59">
        <f>IFERROR(IF(FIND(DV$1,$W86)&gt;0,IF(INDEX([1]!Product_Pricing_Table[#Data],MATCH(DV$1,Products,0),2)="Cores",IF(HostBuild[Use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6" s="59">
        <f>IFERROR(IF(FIND(DW$1,$W86)&gt;0,IF(INDEX([1]!Product_Pricing_Table[#Data],MATCH(DW$1,Products,0),2)="Cores",IF(HostBuild[Use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6" s="59">
        <f>IFERROR(IF(FIND(DX$1,$W86)&gt;0,IF(INDEX([1]!Product_Pricing_Table[#Data],MATCH(DX$1,Products,0),2)="Cores",IF(HostBuild[Use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6" s="59">
        <f>IFERROR(IF(FIND(DY$1,$W86)&gt;0,IF(INDEX([1]!Product_Pricing_Table[#Data],MATCH(DY$1,Products,0),2)="Cores",IF(HostBuild[Use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6" s="59">
        <f>IFERROR(IF(FIND(DZ$1,$W86)&gt;0,IF(INDEX([1]!Product_Pricing_Table[#Data],MATCH(DZ$1,Products,0),2)="Cores",IF(HostBuild[Use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6" s="59">
        <f>IFERROR(IF(FIND(EA$1,$W86)&gt;0,IF(INDEX([1]!Product_Pricing_Table[#Data],MATCH(EA$1,Products,0),2)="Cores",IF(HostBuild[Use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6" s="59">
        <f>IFERROR(IF(FIND(EB$1,$W86)&gt;0,IF(INDEX([1]!Product_Pricing_Table[#Data],MATCH(EB$1,Products,0),2)="Cores",IF(HostBuild[Use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6" s="60">
        <f>IFERROR(IF(FIND(EC$1,$W86)&gt;0,IF(INDEX([1]!Product_Pricing_Table[#Data],MATCH(EC$1,Products,0),2)="Cores",IF(HostBuild[Use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6" s="59">
        <f>IFERROR(IF(FIND(ED$1,$W86)&gt;0,IF(INDEX([1]!Product_Pricing_Table[#Data],MATCH(ED$1,Products,0),2)="Cores",IF(HostBuild[Use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6" s="59">
        <f>IFERROR(IF(FIND(EE$1,$W86)&gt;0,IF(INDEX([1]!Product_Pricing_Table[#Data],MATCH(EE$1,Products,0),2)="Cores",IF(HostBuild[Use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6" s="59">
        <f>IFERROR(IF(FIND(EF$1,$W86)&gt;0,IF(INDEX([1]!Product_Pricing_Table[#Data],MATCH(EF$1,Products,0),2)="Cores",IF(HostBuild[Use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6" s="59">
        <f>IFERROR(IF(FIND(EG$1,$W86)&gt;0,IF(INDEX([1]!Product_Pricing_Table[#Data],MATCH(EG$1,Products,0),2)="Cores",IF(HostBuild[Use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6" s="59">
        <f>IFERROR(IF(FIND(EH$1,$W86)&gt;0,IF(INDEX([1]!Product_Pricing_Table[#Data],MATCH(EH$1,Products,0),2)="Cores",IF(HostBuild[Use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86" s="59">
        <f>IFERROR(IF(FIND(EI$1,$W86)&gt;0,IF(INDEX([1]!Product_Pricing_Table[#Data],MATCH(EI$1,Products,0),2)="Cores",IF(HostBuild[Use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6" s="59">
        <f>IFERROR(IF(FIND(EJ$1,$W86)&gt;0,IF(INDEX([1]!Product_Pricing_Table[#Data],MATCH(EJ$1,Products,0),2)="Cores",IF(HostBuild[Use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6" s="60">
        <f>IFERROR(IF(FIND(EK$1,$W86)&gt;0,IF(INDEX([1]!Product_Pricing_Table[#Data],MATCH(EK$1,Products,0),2)="Cores",IF(HostBuild[Use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6" s="61"/>
      <c r="EM86" s="62">
        <v>0</v>
      </c>
      <c r="EN86" s="63">
        <v>0</v>
      </c>
      <c r="EO86"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8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176.92500000000001</v>
      </c>
      <c r="EQ86" s="132">
        <f>(HostBuild[Archive
Full (GB)]+HostBuild[Archive
Incr (GB)])*Storage_DC_Dist_Tape_2014</f>
        <v>27.017812499999998</v>
      </c>
      <c r="ER86" s="132">
        <f>IF(ISNUMBER(HostBuild[Server HW Costs
(Monthly)]),SUM(HostBuild[[#This Row],[Server HW Costs
(Monthly)]:[Tape Costs
(Monthly)]]),0)</f>
        <v>203.9428125</v>
      </c>
      <c r="ES86" s="65">
        <f>HostBuild[Software Costs
'[Year 1']
(Monthly)]+HostBuild[Total Hardware Costs
(Monthly)]</f>
        <v>203.9428125</v>
      </c>
      <c r="ET86" s="65">
        <f>IFERROR(IF(FIND("Safenet",HostBuild[Server Model]),Safenet_PSE_PL600_Maint,0),0)+IFERROR(IF(FIND("XI52",HostBuild[Server Model]),IBM_DIA_XI52_Maint,0),0)+HostBuild[Software Costs
'[After Year 1']
(Monthly)]+HostBuild[Total Hardware Costs
(Monthly)]</f>
        <v>203.9428125</v>
      </c>
      <c r="EU86" s="66">
        <f>SUM(HostBuild[[#This Row],[Server Cost Breakdown]:[Network Cost]])</f>
        <v>0</v>
      </c>
      <c r="EV86" s="67">
        <f>IF(HostBuild[Existing Server?]="Yes - Inside this BoM",0,SUMIF(HostBuild[Alias],HostBuild[Alias],HostBuild[CPU])+SUMIF(HostBuild[Alias],HostBuild[Alias],HostBuild[Existing CPUs]))</f>
        <v>0</v>
      </c>
      <c r="EW86" s="67">
        <f>IF(HostBuild[Existing Server?]="Yes - Inside this BoM",0,SUMIF(HostBuild[Alias],HostBuild[Alias],HostBuild[Cores 
(Licensed Units)])+SUMIF(HostBuild[Alias],HostBuild[Alias],HostBuild[Existing Cores]))</f>
        <v>0</v>
      </c>
      <c r="EX86" s="67">
        <f>IF(HostBuild[Existing Server?]="Yes - Inside this BoM",0,SUMIF(HostBuild[Alias],HostBuild[Alias],HostBuild[RAM 
(GB)])+SUMIF(HostBuild[Alias],HostBuild[Alias],HostBuild[Existing RAM (GB)]))</f>
        <v>0</v>
      </c>
      <c r="EY8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6" s="66">
        <f>IF(ISBLANK(HostBuild[Server Model]),0,IF(HostBuild[Server Tier]="VMware",0,VLOOKUP(HostBuild[Server Tier],[1]!ServerTierRates[#Data],2,0))*HostBuild[CPU]*IF(AND(HostBuild[Server Type]="pSeries",HostBuild[Virtual Platform Storage Type]="Cloud-SAN"),0.25,1))</f>
        <v>0</v>
      </c>
      <c r="FD86" s="66">
        <f>0</f>
        <v>0</v>
      </c>
      <c r="FE86" s="66">
        <f>IF(HostBuild[Server Type]="VMware",HostBuild[RAM 
(GB)]*IF(ISERROR(FIND("DevCloud", HostBuild[Server Model])&gt;0),vRAM_per_vCPU_2014_Monthly,vRAM_per_vCPU_2014_Daily*30),0)</f>
        <v>0</v>
      </c>
      <c r="FF8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6" s="69">
        <f>IF(HostBuild[Server Tier]="VMware",0,IF(LEFT(HostBuild[Existing Server?],3)="Yes",0,IF(OR(HostBuild[Server Type]="Sun",HostBuild[Server Type]="pSeries"),Support_Direct_Server_Sun_per_OS_2014,IF(HostBuild[Server Type]="x86",Support_Direct_Server_x86_Wintel_per_OS_2014,0))))</f>
        <v>0</v>
      </c>
      <c r="FI8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7" spans="1:165" hidden="1">
      <c r="A87" s="122" t="s">
        <v>53</v>
      </c>
      <c r="B87" s="36"/>
      <c r="C87" s="36"/>
      <c r="D87" s="36"/>
      <c r="E87" s="37"/>
      <c r="F87" s="37"/>
      <c r="G87" s="103"/>
      <c r="H87" s="103"/>
      <c r="I87" s="38"/>
      <c r="J87" s="37"/>
      <c r="K87" s="37"/>
      <c r="L87" s="37"/>
      <c r="M87" s="103" t="e">
        <f ca="1">IF(rngIsDate(HostBuild[CTO Acceptance]),"Y","N")</f>
        <v>#NAME?</v>
      </c>
      <c r="N87" s="123" t="s">
        <v>3</v>
      </c>
      <c r="O87" s="39"/>
      <c r="P87" s="39"/>
      <c r="Q87" s="123" t="s">
        <v>1</v>
      </c>
      <c r="R87" s="126" t="str">
        <f>IF(NOT(ISBLANK(HostBuild[Env Label])),IFERROR(VLOOKUP(HostBuild[Env Label],[1]!tEnv[#Data],3,FALSE),""),"")</f>
        <v/>
      </c>
      <c r="S87" s="104"/>
      <c r="T87" s="40"/>
      <c r="U87" s="105"/>
      <c r="V87" s="123" t="s">
        <v>82</v>
      </c>
      <c r="W87" s="123" t="s">
        <v>83</v>
      </c>
      <c r="X87" s="123" t="s">
        <v>57</v>
      </c>
      <c r="Y87" s="123" t="s">
        <v>58</v>
      </c>
      <c r="Z87" s="126" t="str">
        <f>IF(NOT(ISBLANK(HostBuild[[#This Row],[Product 
(Acronym)]])),CONCATENATE(HostBuild[[#This Row],[Type]],"-",HostBuild[[#This Row],[Product 
(Acronym)]]),"")</f>
        <v>AP-ESB</v>
      </c>
      <c r="AA87" s="106"/>
      <c r="AB87" s="106" t="s">
        <v>171</v>
      </c>
      <c r="AC87" s="41"/>
      <c r="AD87" s="42"/>
      <c r="AE87" s="42"/>
      <c r="AF87" s="43"/>
      <c r="AG87" s="124"/>
      <c r="AH87" s="107"/>
      <c r="AI87" s="124" t="s">
        <v>170</v>
      </c>
      <c r="AJ87" s="123">
        <f>IF(COUNTIF(HostBuild[Alias],HostBuild[Alias]),1/COUNTIF(HostBuild[Alias],HostBuild[Alias]),0)</f>
        <v>1</v>
      </c>
      <c r="AK87" s="124"/>
      <c r="AL87" s="124"/>
      <c r="AM87" s="44" t="s">
        <v>62</v>
      </c>
      <c r="AN87" s="45" t="str">
        <f>IF(NOT(ISBLANK(HostBuild[Server Model])),VLOOKUP(HostBuild[Server Model],[1]!ServerModelsTier[#Data],2,FALSE),"")</f>
        <v>x86 Tier 3</v>
      </c>
      <c r="AO87" s="45" t="str">
        <f>IF(NOT(ISBLANK(HostBuild[Server Model])),VLOOKUP(HostBuild[Server Model],[1]!ServerModelsTier[#Data],5,FALSE),"")</f>
        <v>x86</v>
      </c>
      <c r="AP87" s="44"/>
      <c r="AQ87" s="44" t="s">
        <v>63</v>
      </c>
      <c r="AR87" s="46"/>
      <c r="AS87" s="108"/>
      <c r="AT87" s="47">
        <v>16</v>
      </c>
      <c r="AU87" s="109" t="str">
        <f>IF(IFERROR(FIND("P-Series",HostBuild[Server Tier]),0),CEILING((HostBuild[Existing CPUs]+HostBuild[CPU])*16,8),"")</f>
        <v/>
      </c>
      <c r="AV87" s="48"/>
      <c r="AW87" s="124"/>
      <c r="AX87" s="124"/>
      <c r="AY87" s="124"/>
      <c r="AZ87" s="49"/>
      <c r="BA87" s="124"/>
      <c r="BB87" s="124"/>
      <c r="BC87" s="42"/>
      <c r="BD87" s="124"/>
      <c r="BE87" s="124"/>
      <c r="BF87" s="124"/>
      <c r="BG87" s="124"/>
      <c r="BH87" s="124"/>
      <c r="BI87" s="124"/>
      <c r="BJ87" s="124"/>
      <c r="BK87"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87" s="127">
        <v>150</v>
      </c>
      <c r="BM87" s="129">
        <f>IF(ISNUMBER(HostBuild[Recommended SAN (GB)]),HostBuild[Recommended SAN (GB)])+IF(HostBuild[Additional SAN (GB)]&gt;0,CEILING(HostBuild[Additional SAN (GB)],LUN),-(CEILING(-HostBuild[Additional SAN (GB)],LUN)))</f>
        <v>168.5</v>
      </c>
      <c r="BN87" s="128"/>
      <c r="BO87" s="129">
        <f>HostBuild[SAN (GB)
NEEDED TODAY]+CEILING(HostBuild[SAN (GB)
RESERVED
DO NOT USE TO BUILD], LUN)</f>
        <v>168.5</v>
      </c>
      <c r="BP87" s="130"/>
      <c r="BQ87" s="131"/>
      <c r="BR87" s="125" t="s">
        <v>76</v>
      </c>
      <c r="BS87" s="110">
        <f>IF(HostBuild[Existing Server?]&lt;&gt;"Yes - Inside this BoM",IF(ISNUMBER(HostBuild[RAM 
(GB)]),IF(HostBuild[Existing RAM (GB)]+HostBuild[RAM 
(GB)]&gt;0,IF(HostBuild[Virtual Platform Storage Type]="NAS",110+HostBuild[Existing RAM (GB)]+HostBuild[RAM 
(GB)]*1.75,0),0),0),0)</f>
        <v>0</v>
      </c>
      <c r="BT87" s="111"/>
      <c r="BU87" s="112">
        <f>IF(ISNUMBER(HostBuild[Recommended NAS (GB)]),HostBuild[Recommended NAS (GB)])+HostBuild[Additional NAS (GB)]</f>
        <v>0</v>
      </c>
      <c r="BV87" s="50"/>
      <c r="BW87" s="50"/>
      <c r="BX87" s="133">
        <f>IFERROR((HostBuild[SAN (GB)
End-State
DO NOT USE TO BUILD]+HostBuild[SAN (GB) Shared])*25%,"")</f>
        <v>42.125</v>
      </c>
      <c r="BY87" s="113">
        <f>IFERROR(HostBuild[Archive
Full (GB)]*15%,"")</f>
        <v>6.3187499999999996</v>
      </c>
      <c r="BZ87" s="51"/>
      <c r="CA87" s="51"/>
      <c r="CB87" s="52"/>
      <c r="CC87" s="53"/>
      <c r="CD87" s="52"/>
      <c r="CE87" s="54"/>
      <c r="CF87" s="128"/>
      <c r="CG87" s="114"/>
      <c r="CH87" s="55"/>
      <c r="CI87" s="56"/>
      <c r="CJ87" s="57" t="s">
        <v>85</v>
      </c>
      <c r="CK87" s="58"/>
      <c r="CL87" s="59">
        <f>IFERROR(IF(FIND(CL$1,$W87)&gt;0,IF(INDEX([1]!Product_Pricing_Table[#Data],MATCH(CL$1,Products,0),2)="Cores",IF(HostBuild[Use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7" s="59">
        <f>IFERROR(IF(FIND(CM$1,$W87)&gt;0,IF(INDEX([1]!Product_Pricing_Table[#Data],MATCH(CM$1,Products,0),2)="Cores",IF(HostBuild[Use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7" s="59">
        <f>IFERROR(IF(FIND(CN$1,$W87)&gt;0,IF(INDEX([1]!Product_Pricing_Table[#Data],MATCH(CN$1,Products,0),2)="Cores",IF(HostBuild[Use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7" s="59">
        <f>IFERROR(IF(FIND(CO$1,$W87)&gt;0,IF(INDEX([1]!Product_Pricing_Table[#Data],MATCH(CO$1,Products,0),2)="Cores",IF(HostBuild[Use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7" s="59">
        <f>IFERROR(IF(FIND(CP$1,$W87)&gt;0,IF(INDEX([1]!Product_Pricing_Table[#Data],MATCH(CP$1,Products,0),2)="Cores",IF(HostBuild[Use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7" s="59">
        <f>IFERROR(IF(FIND(CQ$1,$W87)&gt;0,IF(INDEX([1]!Product_Pricing_Table[#Data],MATCH(CQ$1,Products,0),2)="Cores",IF(HostBuild[Use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7" s="59">
        <f>IFERROR(IF(FIND(CR$1,$W87)&gt;0,IF(INDEX([1]!Product_Pricing_Table[#Data],MATCH(CR$1,Products,0),2)="Cores",IF(HostBuild[Use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7" s="59">
        <f>IFERROR(IF(FIND(CS$1,$W87)&gt;0,IF(INDEX([1]!Product_Pricing_Table[#Data],MATCH(CS$1,Products,0),2)="Cores",IF(HostBuild[Use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7" s="59">
        <f>IFERROR(IF(FIND(CT$1,$W87)&gt;0,IF(INDEX([1]!Product_Pricing_Table[#Data],MATCH(CT$1,Products,0),2)="Cores",IF(HostBuild[Use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7" s="59">
        <f>IFERROR(IF(FIND(CU$1,$W87)&gt;0,IF(INDEX([1]!Product_Pricing_Table[#Data],MATCH(CU$1,Products,0),2)="Cores",IF(HostBuild[Use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7" s="59">
        <f>IFERROR(IF(FIND(CV$1,$W87)&gt;0,IF(INDEX([1]!Product_Pricing_Table[#Data],MATCH(CV$1,Products,0),2)="Cores",IF(HostBuild[Use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7" s="59">
        <f>IFERROR(IF(FIND(CW$1,$W87)&gt;0,IF(INDEX([1]!Product_Pricing_Table[#Data],MATCH(CW$1,Products,0),2)="Cores",IF(HostBuild[Use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7" s="59">
        <f>IFERROR(IF(FIND(CX$1,$W87)&gt;0,IF(INDEX([1]!Product_Pricing_Table[#Data],MATCH(CX$1,Products,0),2)="Cores",IF(HostBuild[Use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7" s="59">
        <f>IFERROR(IF(FIND(CY$1,$W87)&gt;0,IF(INDEX([1]!Product_Pricing_Table[#Data],MATCH(CY$1,Products,0),2)="Cores",IF(HostBuild[Use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7" s="59">
        <f>IFERROR(IF(FIND(CZ$1,$W87)&gt;0,IF(INDEX([1]!Product_Pricing_Table[#Data],MATCH(CZ$1,Products,0),2)="Cores",IF(HostBuild[Use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7" s="59">
        <f>IFERROR(IF(FIND(DA$1,$W87)&gt;0,IF(INDEX([1]!Product_Pricing_Table[#Data],MATCH(DA$1,Products,0),2)="Cores",IF(HostBuild[Use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7" s="59">
        <f>IFERROR(IF(FIND(DB$1,$W87)&gt;0,IF(INDEX([1]!Product_Pricing_Table[#Data],MATCH(DB$1,Products,0),2)="Cores",IF(HostBuild[Use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7" s="59">
        <f>IFERROR(IF(FIND(DC$1,$W87)&gt;0,IF(INDEX([1]!Product_Pricing_Table[#Data],MATCH(DC$1,Products,0),2)="Cores",IF(HostBuild[Use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7" s="59">
        <f>IFERROR(IF(FIND(DD$1,$W87)&gt;0,IF(INDEX([1]!Product_Pricing_Table[#Data],MATCH(DD$1,Products,0),2)="Cores",IF(HostBuild[Use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7" s="59">
        <f>IFERROR(IF(FIND(DE$1,$W87)&gt;0,IF(INDEX([1]!Product_Pricing_Table[#Data],MATCH(DE$1,Products,0),2)="Cores",IF(HostBuild[Use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7" s="60">
        <f>IFERROR(IF(FIND(DF$1,$W87)&gt;0,IF(INDEX([1]!Product_Pricing_Table[#Data],MATCH(DF$1,Products,0),2)="Cores",IF(HostBuild[Use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7" s="60">
        <f>IFERROR(IF(FIND(DG$1,$W87)&gt;0,IF(INDEX([1]!Product_Pricing_Table[#Data],MATCH(DG$1,Products,0),2)="Cores",IF(HostBuild[Use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7" s="59">
        <f>IFERROR(IF(FIND(DH$1,$W87)&gt;0,IF(INDEX([1]!Product_Pricing_Table[#Data],MATCH(DH$1,Products,0),2)="Cores",IF(HostBuild[Use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7" s="60">
        <f>IFERROR(IF(FIND(DI$1,$W87)&gt;0,IF(INDEX([1]!Product_Pricing_Table[#Data],MATCH(DI$1,Products,0),2)="Cores",IF(HostBuild[Use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7" s="59">
        <f>IFERROR(IF(FIND(DJ$1,$W87)&gt;0,IF(INDEX([1]!Product_Pricing_Table[#Data],MATCH(DJ$1,Products,0),2)="Cores",IF(HostBuild[Use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7" s="59">
        <f>IFERROR(IF(FIND(DK$1,$W87)&gt;0,IF(INDEX([1]!Product_Pricing_Table[#Data],MATCH(DK$1,Products,0),2)="Cores",IF(HostBuild[Use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7" s="59">
        <f>IFERROR(IF(FIND(DL$1,$W87)&gt;0,IF(INDEX([1]!Product_Pricing_Table[#Data],MATCH(DL$1,Products,0),2)="Cores",IF(HostBuild[Use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7" s="59">
        <f>IFERROR(IF(FIND(DM$1,$W87)&gt;0,IF(INDEX([1]!Product_Pricing_Table[#Data],MATCH(DM$1,Products,0),2)="Cores",IF(HostBuild[Use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7" s="59">
        <f>IFERROR(IF(FIND(DN$1,$W87)&gt;0,IF(INDEX([1]!Product_Pricing_Table[#Data],MATCH(DN$1,Products,0),2)="Cores",IF(HostBuild[Use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7" s="59">
        <f>IFERROR(IF(FIND(DO$1,$W87)&gt;0,IF(INDEX([1]!Product_Pricing_Table[#Data],MATCH(DO$1,Products,0),2)="Cores",IF(HostBuild[Use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7" s="59">
        <f>IFERROR(IF(FIND(DP$1,$W87)&gt;0,IF(INDEX([1]!Product_Pricing_Table[#Data],MATCH(DP$1,Products,0),2)="Cores",IF(HostBuild[Use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7" s="59">
        <f>IFERROR(IF(FIND(DQ$1,$W87)&gt;0,IF(INDEX([1]!Product_Pricing_Table[#Data],MATCH(DQ$1,Products,0),2)="Cores",IF(HostBuild[Use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7" s="59">
        <f>IFERROR(IF(FIND(DR$1,$W87)&gt;0,IF(INDEX([1]!Product_Pricing_Table[#Data],MATCH(DR$1,Products,0),2)="Cores",IF(HostBuild[Use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7" s="59">
        <f>IFERROR(IF(FIND(DS$1,$W87)&gt;0,IF(INDEX([1]!Product_Pricing_Table[#Data],MATCH(DS$1,Products,0),2)="Cores",IF(HostBuild[Use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7" s="59">
        <f>IFERROR(IF(FIND(DT$1,$W87)&gt;0,IF(INDEX([1]!Product_Pricing_Table[#Data],MATCH(DT$1,Products,0),2)="Cores",IF(HostBuild[Use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7" s="59">
        <f>IFERROR(IF(FIND(DU$1,$W87)&gt;0,IF(INDEX([1]!Product_Pricing_Table[#Data],MATCH(DU$1,Products,0),2)="Cores",IF(HostBuild[Use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7" s="59">
        <f>IFERROR(IF(FIND(DV$1,$W87)&gt;0,IF(INDEX([1]!Product_Pricing_Table[#Data],MATCH(DV$1,Products,0),2)="Cores",IF(HostBuild[Use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7" s="59">
        <f>IFERROR(IF(FIND(DW$1,$W87)&gt;0,IF(INDEX([1]!Product_Pricing_Table[#Data],MATCH(DW$1,Products,0),2)="Cores",IF(HostBuild[Use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7" s="59">
        <f>IFERROR(IF(FIND(DX$1,$W87)&gt;0,IF(INDEX([1]!Product_Pricing_Table[#Data],MATCH(DX$1,Products,0),2)="Cores",IF(HostBuild[Use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7" s="59">
        <f>IFERROR(IF(FIND(DY$1,$W87)&gt;0,IF(INDEX([1]!Product_Pricing_Table[#Data],MATCH(DY$1,Products,0),2)="Cores",IF(HostBuild[Use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7" s="59">
        <f>IFERROR(IF(FIND(DZ$1,$W87)&gt;0,IF(INDEX([1]!Product_Pricing_Table[#Data],MATCH(DZ$1,Products,0),2)="Cores",IF(HostBuild[Use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7" s="59">
        <f>IFERROR(IF(FIND(EA$1,$W87)&gt;0,IF(INDEX([1]!Product_Pricing_Table[#Data],MATCH(EA$1,Products,0),2)="Cores",IF(HostBuild[Use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7" s="59">
        <f>IFERROR(IF(FIND(EB$1,$W87)&gt;0,IF(INDEX([1]!Product_Pricing_Table[#Data],MATCH(EB$1,Products,0),2)="Cores",IF(HostBuild[Use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7" s="60">
        <f>IFERROR(IF(FIND(EC$1,$W87)&gt;0,IF(INDEX([1]!Product_Pricing_Table[#Data],MATCH(EC$1,Products,0),2)="Cores",IF(HostBuild[Use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7" s="59">
        <f>IFERROR(IF(FIND(ED$1,$W87)&gt;0,IF(INDEX([1]!Product_Pricing_Table[#Data],MATCH(ED$1,Products,0),2)="Cores",IF(HostBuild[Use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7" s="59">
        <f>IFERROR(IF(FIND(EE$1,$W87)&gt;0,IF(INDEX([1]!Product_Pricing_Table[#Data],MATCH(EE$1,Products,0),2)="Cores",IF(HostBuild[Use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7" s="59">
        <f>IFERROR(IF(FIND(EF$1,$W87)&gt;0,IF(INDEX([1]!Product_Pricing_Table[#Data],MATCH(EF$1,Products,0),2)="Cores",IF(HostBuild[Use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7" s="59">
        <f>IFERROR(IF(FIND(EG$1,$W87)&gt;0,IF(INDEX([1]!Product_Pricing_Table[#Data],MATCH(EG$1,Products,0),2)="Cores",IF(HostBuild[Use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7" s="59">
        <f>IFERROR(IF(FIND(EH$1,$W87)&gt;0,IF(INDEX([1]!Product_Pricing_Table[#Data],MATCH(EH$1,Products,0),2)="Cores",IF(HostBuild[Use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87" s="59">
        <f>IFERROR(IF(FIND(EI$1,$W87)&gt;0,IF(INDEX([1]!Product_Pricing_Table[#Data],MATCH(EI$1,Products,0),2)="Cores",IF(HostBuild[Use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7" s="59">
        <f>IFERROR(IF(FIND(EJ$1,$W87)&gt;0,IF(INDEX([1]!Product_Pricing_Table[#Data],MATCH(EJ$1,Products,0),2)="Cores",IF(HostBuild[Use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7" s="60">
        <f>IFERROR(IF(FIND(EK$1,$W87)&gt;0,IF(INDEX([1]!Product_Pricing_Table[#Data],MATCH(EK$1,Products,0),2)="Cores",IF(HostBuild[Use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7" s="61"/>
      <c r="EM87" s="62">
        <v>0</v>
      </c>
      <c r="EN87" s="63">
        <v>0</v>
      </c>
      <c r="EO87"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8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7" s="132">
        <f>(HostBuild[Archive
Full (GB)]+HostBuild[Archive
Incr (GB)])*Storage_DC_Dist_Tape_2014</f>
        <v>16.955312499999998</v>
      </c>
      <c r="ER87" s="132">
        <f>IF(ISNUMBER(HostBuild[Server HW Costs
(Monthly)]),SUM(HostBuild[[#This Row],[Server HW Costs
(Monthly)]:[Tape Costs
(Monthly)]]),0)</f>
        <v>92.780312500000008</v>
      </c>
      <c r="ES87" s="65">
        <f>HostBuild[Software Costs
'[Year 1']
(Monthly)]+HostBuild[Total Hardware Costs
(Monthly)]</f>
        <v>92.780312500000008</v>
      </c>
      <c r="ET87" s="65">
        <f>IFERROR(IF(FIND("Safenet",HostBuild[Server Model]),Safenet_PSE_PL600_Maint,0),0)+IFERROR(IF(FIND("XI52",HostBuild[Server Model]),IBM_DIA_XI52_Maint,0),0)+HostBuild[Software Costs
'[After Year 1']
(Monthly)]+HostBuild[Total Hardware Costs
(Monthly)]</f>
        <v>92.780312500000008</v>
      </c>
      <c r="EU87" s="66">
        <f>SUM(HostBuild[[#This Row],[Server Cost Breakdown]:[Network Cost]])</f>
        <v>0</v>
      </c>
      <c r="EV87" s="67">
        <f>IF(HostBuild[Existing Server?]="Yes - Inside this BoM",0,SUMIF(HostBuild[Alias],HostBuild[Alias],HostBuild[CPU])+SUMIF(HostBuild[Alias],HostBuild[Alias],HostBuild[Existing CPUs]))</f>
        <v>0</v>
      </c>
      <c r="EW87" s="67">
        <f>IF(HostBuild[Existing Server?]="Yes - Inside this BoM",0,SUMIF(HostBuild[Alias],HostBuild[Alias],HostBuild[Cores 
(Licensed Units)])+SUMIF(HostBuild[Alias],HostBuild[Alias],HostBuild[Existing Cores]))</f>
        <v>0</v>
      </c>
      <c r="EX87" s="67">
        <f>IF(HostBuild[Existing Server?]="Yes - Inside this BoM",0,SUMIF(HostBuild[Alias],HostBuild[Alias],HostBuild[RAM 
(GB)])+SUMIF(HostBuild[Alias],HostBuild[Alias],HostBuild[Existing RAM (GB)]))</f>
        <v>0</v>
      </c>
      <c r="EY8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7" s="66">
        <f>IF(ISBLANK(HostBuild[Server Model]),0,IF(HostBuild[Server Tier]="VMware",0,VLOOKUP(HostBuild[Server Tier],[1]!ServerTierRates[#Data],2,0))*HostBuild[CPU]*IF(AND(HostBuild[Server Type]="pSeries",HostBuild[Virtual Platform Storage Type]="Cloud-SAN"),0.25,1))</f>
        <v>0</v>
      </c>
      <c r="FD87" s="66">
        <f>0</f>
        <v>0</v>
      </c>
      <c r="FE87" s="66">
        <f>IF(HostBuild[Server Type]="VMware",HostBuild[RAM 
(GB)]*IF(ISERROR(FIND("DevCloud", HostBuild[Server Model])&gt;0),vRAM_per_vCPU_2014_Monthly,vRAM_per_vCPU_2014_Daily*30),0)</f>
        <v>0</v>
      </c>
      <c r="FF8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7" s="69">
        <f>IF(HostBuild[Server Tier]="VMware",0,IF(LEFT(HostBuild[Existing Server?],3)="Yes",0,IF(OR(HostBuild[Server Type]="Sun",HostBuild[Server Type]="pSeries"),Support_Direct_Server_Sun_per_OS_2014,IF(HostBuild[Server Type]="x86",Support_Direct_Server_x86_Wintel_per_OS_2014,0))))</f>
        <v>0</v>
      </c>
      <c r="FI8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8" spans="1:165" hidden="1">
      <c r="A88" s="122" t="s">
        <v>53</v>
      </c>
      <c r="B88" s="36"/>
      <c r="C88" s="36"/>
      <c r="D88" s="36"/>
      <c r="E88" s="37"/>
      <c r="F88" s="37"/>
      <c r="G88" s="103"/>
      <c r="H88" s="103"/>
      <c r="I88" s="38"/>
      <c r="J88" s="37"/>
      <c r="K88" s="37"/>
      <c r="L88" s="37"/>
      <c r="M88" s="103" t="e">
        <f ca="1">IF(rngIsDate(HostBuild[CTO Acceptance]),"Y","N")</f>
        <v>#NAME?</v>
      </c>
      <c r="N88" s="123" t="s">
        <v>3</v>
      </c>
      <c r="O88" s="39"/>
      <c r="P88" s="39"/>
      <c r="Q88" s="123" t="s">
        <v>1</v>
      </c>
      <c r="R88" s="126" t="str">
        <f>IF(NOT(ISBLANK(HostBuild[Env Label])),IFERROR(VLOOKUP(HostBuild[Env Label],[1]!tEnv[#Data],3,FALSE),""),"")</f>
        <v/>
      </c>
      <c r="S88" s="104"/>
      <c r="T88" s="40"/>
      <c r="U88" s="105"/>
      <c r="V88" s="123" t="s">
        <v>82</v>
      </c>
      <c r="W88" s="123" t="s">
        <v>83</v>
      </c>
      <c r="X88" s="123" t="s">
        <v>57</v>
      </c>
      <c r="Y88" s="123" t="s">
        <v>58</v>
      </c>
      <c r="Z88" s="126" t="str">
        <f>IF(NOT(ISBLANK(HostBuild[[#This Row],[Product 
(Acronym)]])),CONCATENATE(HostBuild[[#This Row],[Type]],"-",HostBuild[[#This Row],[Product 
(Acronym)]]),"")</f>
        <v>AP-ESB</v>
      </c>
      <c r="AA88" s="106"/>
      <c r="AB88" s="106" t="s">
        <v>171</v>
      </c>
      <c r="AC88" s="41"/>
      <c r="AD88" s="42"/>
      <c r="AE88" s="42"/>
      <c r="AF88" s="43"/>
      <c r="AG88" s="124"/>
      <c r="AH88" s="107"/>
      <c r="AI88" s="124" t="s">
        <v>172</v>
      </c>
      <c r="AJ88" s="123">
        <f>IF(COUNTIF(HostBuild[Alias],HostBuild[Alias]),1/COUNTIF(HostBuild[Alias],HostBuild[Alias]),0)</f>
        <v>1</v>
      </c>
      <c r="AK88" s="124"/>
      <c r="AL88" s="124"/>
      <c r="AM88" s="44" t="s">
        <v>62</v>
      </c>
      <c r="AN88" s="45" t="str">
        <f>IF(NOT(ISBLANK(HostBuild[Server Model])),VLOOKUP(HostBuild[Server Model],[1]!ServerModelsTier[#Data],2,FALSE),"")</f>
        <v>x86 Tier 3</v>
      </c>
      <c r="AO88" s="45" t="str">
        <f>IF(NOT(ISBLANK(HostBuild[Server Model])),VLOOKUP(HostBuild[Server Model],[1]!ServerModelsTier[#Data],5,FALSE),"")</f>
        <v>x86</v>
      </c>
      <c r="AP88" s="44"/>
      <c r="AQ88" s="44" t="s">
        <v>63</v>
      </c>
      <c r="AR88" s="46"/>
      <c r="AS88" s="108"/>
      <c r="AT88" s="47">
        <v>16</v>
      </c>
      <c r="AU88" s="109" t="str">
        <f>IF(IFERROR(FIND("P-Series",HostBuild[Server Tier]),0),CEILING((HostBuild[Existing CPUs]+HostBuild[CPU])*16,8),"")</f>
        <v/>
      </c>
      <c r="AV88" s="48"/>
      <c r="AW88" s="124"/>
      <c r="AX88" s="124"/>
      <c r="AY88" s="124"/>
      <c r="AZ88" s="49"/>
      <c r="BA88" s="124"/>
      <c r="BB88" s="124"/>
      <c r="BC88" s="42"/>
      <c r="BD88" s="124"/>
      <c r="BE88" s="124"/>
      <c r="BF88" s="124"/>
      <c r="BG88" s="124"/>
      <c r="BH88" s="124"/>
      <c r="BI88" s="124"/>
      <c r="BJ88" s="124"/>
      <c r="BK88"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88" s="127">
        <v>150</v>
      </c>
      <c r="BM88" s="129">
        <f>IF(ISNUMBER(HostBuild[Recommended SAN (GB)]),HostBuild[Recommended SAN (GB)])+IF(HostBuild[Additional SAN (GB)]&gt;0,CEILING(HostBuild[Additional SAN (GB)],LUN),-(CEILING(-HostBuild[Additional SAN (GB)],LUN)))</f>
        <v>168.5</v>
      </c>
      <c r="BN88" s="128"/>
      <c r="BO88" s="129">
        <f>HostBuild[SAN (GB)
NEEDED TODAY]+CEILING(HostBuild[SAN (GB)
RESERVED
DO NOT USE TO BUILD], LUN)</f>
        <v>168.5</v>
      </c>
      <c r="BP88" s="130"/>
      <c r="BQ88" s="131"/>
      <c r="BR88" s="125" t="s">
        <v>76</v>
      </c>
      <c r="BS88" s="110">
        <f>IF(HostBuild[Existing Server?]&lt;&gt;"Yes - Inside this BoM",IF(ISNUMBER(HostBuild[RAM 
(GB)]),IF(HostBuild[Existing RAM (GB)]+HostBuild[RAM 
(GB)]&gt;0,IF(HostBuild[Virtual Platform Storage Type]="NAS",110+HostBuild[Existing RAM (GB)]+HostBuild[RAM 
(GB)]*1.75,0),0),0),0)</f>
        <v>0</v>
      </c>
      <c r="BT88" s="111"/>
      <c r="BU88" s="112">
        <f>IF(ISNUMBER(HostBuild[Recommended NAS (GB)]),HostBuild[Recommended NAS (GB)])+HostBuild[Additional NAS (GB)]</f>
        <v>0</v>
      </c>
      <c r="BV88" s="50"/>
      <c r="BW88" s="50"/>
      <c r="BX88" s="133">
        <f>IFERROR((HostBuild[SAN (GB)
End-State
DO NOT USE TO BUILD]+HostBuild[SAN (GB) Shared])*25%,"")</f>
        <v>42.125</v>
      </c>
      <c r="BY88" s="113">
        <f>IFERROR(HostBuild[Archive
Full (GB)]*15%,"")</f>
        <v>6.3187499999999996</v>
      </c>
      <c r="BZ88" s="51"/>
      <c r="CA88" s="51"/>
      <c r="CB88" s="52"/>
      <c r="CC88" s="53"/>
      <c r="CD88" s="52"/>
      <c r="CE88" s="54"/>
      <c r="CF88" s="128"/>
      <c r="CG88" s="114"/>
      <c r="CH88" s="55"/>
      <c r="CI88" s="56"/>
      <c r="CJ88" s="57"/>
      <c r="CK88" s="58"/>
      <c r="CL88" s="59">
        <f>IFERROR(IF(FIND(CL$1,$W88)&gt;0,IF(INDEX([1]!Product_Pricing_Table[#Data],MATCH(CL$1,Products,0),2)="Cores",IF(HostBuild[Use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8" s="59">
        <f>IFERROR(IF(FIND(CM$1,$W88)&gt;0,IF(INDEX([1]!Product_Pricing_Table[#Data],MATCH(CM$1,Products,0),2)="Cores",IF(HostBuild[Use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8" s="59">
        <f>IFERROR(IF(FIND(CN$1,$W88)&gt;0,IF(INDEX([1]!Product_Pricing_Table[#Data],MATCH(CN$1,Products,0),2)="Cores",IF(HostBuild[Use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8" s="59">
        <f>IFERROR(IF(FIND(CO$1,$W88)&gt;0,IF(INDEX([1]!Product_Pricing_Table[#Data],MATCH(CO$1,Products,0),2)="Cores",IF(HostBuild[Use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8" s="59">
        <f>IFERROR(IF(FIND(CP$1,$W88)&gt;0,IF(INDEX([1]!Product_Pricing_Table[#Data],MATCH(CP$1,Products,0),2)="Cores",IF(HostBuild[Use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8" s="59">
        <f>IFERROR(IF(FIND(CQ$1,$W88)&gt;0,IF(INDEX([1]!Product_Pricing_Table[#Data],MATCH(CQ$1,Products,0),2)="Cores",IF(HostBuild[Use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8" s="59">
        <f>IFERROR(IF(FIND(CR$1,$W88)&gt;0,IF(INDEX([1]!Product_Pricing_Table[#Data],MATCH(CR$1,Products,0),2)="Cores",IF(HostBuild[Use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8" s="59">
        <f>IFERROR(IF(FIND(CS$1,$W88)&gt;0,IF(INDEX([1]!Product_Pricing_Table[#Data],MATCH(CS$1,Products,0),2)="Cores",IF(HostBuild[Use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8" s="59">
        <f>IFERROR(IF(FIND(CT$1,$W88)&gt;0,IF(INDEX([1]!Product_Pricing_Table[#Data],MATCH(CT$1,Products,0),2)="Cores",IF(HostBuild[Use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8" s="59">
        <f>IFERROR(IF(FIND(CU$1,$W88)&gt;0,IF(INDEX([1]!Product_Pricing_Table[#Data],MATCH(CU$1,Products,0),2)="Cores",IF(HostBuild[Use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8" s="59">
        <f>IFERROR(IF(FIND(CV$1,$W88)&gt;0,IF(INDEX([1]!Product_Pricing_Table[#Data],MATCH(CV$1,Products,0),2)="Cores",IF(HostBuild[Use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8" s="59">
        <f>IFERROR(IF(FIND(CW$1,$W88)&gt;0,IF(INDEX([1]!Product_Pricing_Table[#Data],MATCH(CW$1,Products,0),2)="Cores",IF(HostBuild[Use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8" s="59">
        <f>IFERROR(IF(FIND(CX$1,$W88)&gt;0,IF(INDEX([1]!Product_Pricing_Table[#Data],MATCH(CX$1,Products,0),2)="Cores",IF(HostBuild[Use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8" s="59">
        <f>IFERROR(IF(FIND(CY$1,$W88)&gt;0,IF(INDEX([1]!Product_Pricing_Table[#Data],MATCH(CY$1,Products,0),2)="Cores",IF(HostBuild[Use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8" s="59">
        <f>IFERROR(IF(FIND(CZ$1,$W88)&gt;0,IF(INDEX([1]!Product_Pricing_Table[#Data],MATCH(CZ$1,Products,0),2)="Cores",IF(HostBuild[Use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8" s="59">
        <f>IFERROR(IF(FIND(DA$1,$W88)&gt;0,IF(INDEX([1]!Product_Pricing_Table[#Data],MATCH(DA$1,Products,0),2)="Cores",IF(HostBuild[Use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8" s="59">
        <f>IFERROR(IF(FIND(DB$1,$W88)&gt;0,IF(INDEX([1]!Product_Pricing_Table[#Data],MATCH(DB$1,Products,0),2)="Cores",IF(HostBuild[Use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8" s="59">
        <f>IFERROR(IF(FIND(DC$1,$W88)&gt;0,IF(INDEX([1]!Product_Pricing_Table[#Data],MATCH(DC$1,Products,0),2)="Cores",IF(HostBuild[Use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8" s="59">
        <f>IFERROR(IF(FIND(DD$1,$W88)&gt;0,IF(INDEX([1]!Product_Pricing_Table[#Data],MATCH(DD$1,Products,0),2)="Cores",IF(HostBuild[Use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8" s="59">
        <f>IFERROR(IF(FIND(DE$1,$W88)&gt;0,IF(INDEX([1]!Product_Pricing_Table[#Data],MATCH(DE$1,Products,0),2)="Cores",IF(HostBuild[Use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8" s="60">
        <f>IFERROR(IF(FIND(DF$1,$W88)&gt;0,IF(INDEX([1]!Product_Pricing_Table[#Data],MATCH(DF$1,Products,0),2)="Cores",IF(HostBuild[Use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8" s="60">
        <f>IFERROR(IF(FIND(DG$1,$W88)&gt;0,IF(INDEX([1]!Product_Pricing_Table[#Data],MATCH(DG$1,Products,0),2)="Cores",IF(HostBuild[Use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8" s="59">
        <f>IFERROR(IF(FIND(DH$1,$W88)&gt;0,IF(INDEX([1]!Product_Pricing_Table[#Data],MATCH(DH$1,Products,0),2)="Cores",IF(HostBuild[Use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8" s="60">
        <f>IFERROR(IF(FIND(DI$1,$W88)&gt;0,IF(INDEX([1]!Product_Pricing_Table[#Data],MATCH(DI$1,Products,0),2)="Cores",IF(HostBuild[Use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8" s="59">
        <f>IFERROR(IF(FIND(DJ$1,$W88)&gt;0,IF(INDEX([1]!Product_Pricing_Table[#Data],MATCH(DJ$1,Products,0),2)="Cores",IF(HostBuild[Use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8" s="59">
        <f>IFERROR(IF(FIND(DK$1,$W88)&gt;0,IF(INDEX([1]!Product_Pricing_Table[#Data],MATCH(DK$1,Products,0),2)="Cores",IF(HostBuild[Use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8" s="59">
        <f>IFERROR(IF(FIND(DL$1,$W88)&gt;0,IF(INDEX([1]!Product_Pricing_Table[#Data],MATCH(DL$1,Products,0),2)="Cores",IF(HostBuild[Use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8" s="59">
        <f>IFERROR(IF(FIND(DM$1,$W88)&gt;0,IF(INDEX([1]!Product_Pricing_Table[#Data],MATCH(DM$1,Products,0),2)="Cores",IF(HostBuild[Use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8" s="59">
        <f>IFERROR(IF(FIND(DN$1,$W88)&gt;0,IF(INDEX([1]!Product_Pricing_Table[#Data],MATCH(DN$1,Products,0),2)="Cores",IF(HostBuild[Use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8" s="59">
        <f>IFERROR(IF(FIND(DO$1,$W88)&gt;0,IF(INDEX([1]!Product_Pricing_Table[#Data],MATCH(DO$1,Products,0),2)="Cores",IF(HostBuild[Use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8" s="59">
        <f>IFERROR(IF(FIND(DP$1,$W88)&gt;0,IF(INDEX([1]!Product_Pricing_Table[#Data],MATCH(DP$1,Products,0),2)="Cores",IF(HostBuild[Use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8" s="59">
        <f>IFERROR(IF(FIND(DQ$1,$W88)&gt;0,IF(INDEX([1]!Product_Pricing_Table[#Data],MATCH(DQ$1,Products,0),2)="Cores",IF(HostBuild[Use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8" s="59">
        <f>IFERROR(IF(FIND(DR$1,$W88)&gt;0,IF(INDEX([1]!Product_Pricing_Table[#Data],MATCH(DR$1,Products,0),2)="Cores",IF(HostBuild[Use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8" s="59">
        <f>IFERROR(IF(FIND(DS$1,$W88)&gt;0,IF(INDEX([1]!Product_Pricing_Table[#Data],MATCH(DS$1,Products,0),2)="Cores",IF(HostBuild[Use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8" s="59">
        <f>IFERROR(IF(FIND(DT$1,$W88)&gt;0,IF(INDEX([1]!Product_Pricing_Table[#Data],MATCH(DT$1,Products,0),2)="Cores",IF(HostBuild[Use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8" s="59">
        <f>IFERROR(IF(FIND(DU$1,$W88)&gt;0,IF(INDEX([1]!Product_Pricing_Table[#Data],MATCH(DU$1,Products,0),2)="Cores",IF(HostBuild[Use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8" s="59">
        <f>IFERROR(IF(FIND(DV$1,$W88)&gt;0,IF(INDEX([1]!Product_Pricing_Table[#Data],MATCH(DV$1,Products,0),2)="Cores",IF(HostBuild[Use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8" s="59">
        <f>IFERROR(IF(FIND(DW$1,$W88)&gt;0,IF(INDEX([1]!Product_Pricing_Table[#Data],MATCH(DW$1,Products,0),2)="Cores",IF(HostBuild[Use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8" s="59">
        <f>IFERROR(IF(FIND(DX$1,$W88)&gt;0,IF(INDEX([1]!Product_Pricing_Table[#Data],MATCH(DX$1,Products,0),2)="Cores",IF(HostBuild[Use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8" s="59">
        <f>IFERROR(IF(FIND(DY$1,$W88)&gt;0,IF(INDEX([1]!Product_Pricing_Table[#Data],MATCH(DY$1,Products,0),2)="Cores",IF(HostBuild[Use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8" s="59">
        <f>IFERROR(IF(FIND(DZ$1,$W88)&gt;0,IF(INDEX([1]!Product_Pricing_Table[#Data],MATCH(DZ$1,Products,0),2)="Cores",IF(HostBuild[Use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8" s="59">
        <f>IFERROR(IF(FIND(EA$1,$W88)&gt;0,IF(INDEX([1]!Product_Pricing_Table[#Data],MATCH(EA$1,Products,0),2)="Cores",IF(HostBuild[Use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8" s="59">
        <f>IFERROR(IF(FIND(EB$1,$W88)&gt;0,IF(INDEX([1]!Product_Pricing_Table[#Data],MATCH(EB$1,Products,0),2)="Cores",IF(HostBuild[Use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8" s="60">
        <f>IFERROR(IF(FIND(EC$1,$W88)&gt;0,IF(INDEX([1]!Product_Pricing_Table[#Data],MATCH(EC$1,Products,0),2)="Cores",IF(HostBuild[Use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8" s="59">
        <f>IFERROR(IF(FIND(ED$1,$W88)&gt;0,IF(INDEX([1]!Product_Pricing_Table[#Data],MATCH(ED$1,Products,0),2)="Cores",IF(HostBuild[Use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8" s="59">
        <f>IFERROR(IF(FIND(EE$1,$W88)&gt;0,IF(INDEX([1]!Product_Pricing_Table[#Data],MATCH(EE$1,Products,0),2)="Cores",IF(HostBuild[Use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8" s="59">
        <f>IFERROR(IF(FIND(EF$1,$W88)&gt;0,IF(INDEX([1]!Product_Pricing_Table[#Data],MATCH(EF$1,Products,0),2)="Cores",IF(HostBuild[Use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8" s="59">
        <f>IFERROR(IF(FIND(EG$1,$W88)&gt;0,IF(INDEX([1]!Product_Pricing_Table[#Data],MATCH(EG$1,Products,0),2)="Cores",IF(HostBuild[Use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8" s="59">
        <f>IFERROR(IF(FIND(EH$1,$W88)&gt;0,IF(INDEX([1]!Product_Pricing_Table[#Data],MATCH(EH$1,Products,0),2)="Cores",IF(HostBuild[Use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88" s="59">
        <f>IFERROR(IF(FIND(EI$1,$W88)&gt;0,IF(INDEX([1]!Product_Pricing_Table[#Data],MATCH(EI$1,Products,0),2)="Cores",IF(HostBuild[Use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8" s="59">
        <f>IFERROR(IF(FIND(EJ$1,$W88)&gt;0,IF(INDEX([1]!Product_Pricing_Table[#Data],MATCH(EJ$1,Products,0),2)="Cores",IF(HostBuild[Use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8" s="60">
        <f>IFERROR(IF(FIND(EK$1,$W88)&gt;0,IF(INDEX([1]!Product_Pricing_Table[#Data],MATCH(EK$1,Products,0),2)="Cores",IF(HostBuild[Use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8" s="61"/>
      <c r="EM88" s="62">
        <v>0</v>
      </c>
      <c r="EN88" s="63">
        <v>0</v>
      </c>
      <c r="EO88"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8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8" s="132">
        <f>(HostBuild[Archive
Full (GB)]+HostBuild[Archive
Incr (GB)])*Storage_DC_Dist_Tape_2014</f>
        <v>16.955312499999998</v>
      </c>
      <c r="ER88" s="132">
        <f>IF(ISNUMBER(HostBuild[Server HW Costs
(Monthly)]),SUM(HostBuild[[#This Row],[Server HW Costs
(Monthly)]:[Tape Costs
(Monthly)]]),0)</f>
        <v>92.780312500000008</v>
      </c>
      <c r="ES88" s="65">
        <f>HostBuild[Software Costs
'[Year 1']
(Monthly)]+HostBuild[Total Hardware Costs
(Monthly)]</f>
        <v>92.780312500000008</v>
      </c>
      <c r="ET88" s="65">
        <f>IFERROR(IF(FIND("Safenet",HostBuild[Server Model]),Safenet_PSE_PL600_Maint,0),0)+IFERROR(IF(FIND("XI52",HostBuild[Server Model]),IBM_DIA_XI52_Maint,0),0)+HostBuild[Software Costs
'[After Year 1']
(Monthly)]+HostBuild[Total Hardware Costs
(Monthly)]</f>
        <v>92.780312500000008</v>
      </c>
      <c r="EU88" s="66">
        <f>SUM(HostBuild[[#This Row],[Server Cost Breakdown]:[Network Cost]])</f>
        <v>0</v>
      </c>
      <c r="EV88" s="67">
        <f>IF(HostBuild[Existing Server?]="Yes - Inside this BoM",0,SUMIF(HostBuild[Alias],HostBuild[Alias],HostBuild[CPU])+SUMIF(HostBuild[Alias],HostBuild[Alias],HostBuild[Existing CPUs]))</f>
        <v>0</v>
      </c>
      <c r="EW88" s="67">
        <f>IF(HostBuild[Existing Server?]="Yes - Inside this BoM",0,SUMIF(HostBuild[Alias],HostBuild[Alias],HostBuild[Cores 
(Licensed Units)])+SUMIF(HostBuild[Alias],HostBuild[Alias],HostBuild[Existing Cores]))</f>
        <v>0</v>
      </c>
      <c r="EX88" s="67">
        <f>IF(HostBuild[Existing Server?]="Yes - Inside this BoM",0,SUMIF(HostBuild[Alias],HostBuild[Alias],HostBuild[RAM 
(GB)])+SUMIF(HostBuild[Alias],HostBuild[Alias],HostBuild[Existing RAM (GB)]))</f>
        <v>0</v>
      </c>
      <c r="EY8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8" s="66">
        <f>IF(ISBLANK(HostBuild[Server Model]),0,IF(HostBuild[Server Tier]="VMware",0,VLOOKUP(HostBuild[Server Tier],[1]!ServerTierRates[#Data],2,0))*HostBuild[CPU]*IF(AND(HostBuild[Server Type]="pSeries",HostBuild[Virtual Platform Storage Type]="Cloud-SAN"),0.25,1))</f>
        <v>0</v>
      </c>
      <c r="FD88" s="66">
        <f>0</f>
        <v>0</v>
      </c>
      <c r="FE88" s="66">
        <f>IF(HostBuild[Server Type]="VMware",HostBuild[RAM 
(GB)]*IF(ISERROR(FIND("DevCloud", HostBuild[Server Model])&gt;0),vRAM_per_vCPU_2014_Monthly,vRAM_per_vCPU_2014_Daily*30),0)</f>
        <v>0</v>
      </c>
      <c r="FF8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8" s="69">
        <f>IF(HostBuild[Server Tier]="VMware",0,IF(LEFT(HostBuild[Existing Server?],3)="Yes",0,IF(OR(HostBuild[Server Type]="Sun",HostBuild[Server Type]="pSeries"),Support_Direct_Server_Sun_per_OS_2014,IF(HostBuild[Server Type]="x86",Support_Direct_Server_x86_Wintel_per_OS_2014,0))))</f>
        <v>0</v>
      </c>
      <c r="FI8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89" spans="1:165" hidden="1">
      <c r="A89" s="122" t="s">
        <v>53</v>
      </c>
      <c r="B89" s="36"/>
      <c r="C89" s="36"/>
      <c r="D89" s="36"/>
      <c r="E89" s="37"/>
      <c r="F89" s="37"/>
      <c r="G89" s="103"/>
      <c r="H89" s="103"/>
      <c r="I89" s="38"/>
      <c r="J89" s="37"/>
      <c r="K89" s="37"/>
      <c r="L89" s="37"/>
      <c r="M89" s="103" t="e">
        <f ca="1">IF(rngIsDate(HostBuild[CTO Acceptance]),"Y","N")</f>
        <v>#NAME?</v>
      </c>
      <c r="N89" s="123" t="s">
        <v>3</v>
      </c>
      <c r="O89" s="39"/>
      <c r="P89" s="39"/>
      <c r="Q89" s="123" t="s">
        <v>1</v>
      </c>
      <c r="R89" s="126" t="str">
        <f>IF(NOT(ISBLANK(HostBuild[Env Label])),IFERROR(VLOOKUP(HostBuild[Env Label],[1]!tEnv[#Data],3,FALSE),""),"")</f>
        <v/>
      </c>
      <c r="S89" s="104"/>
      <c r="T89" s="40"/>
      <c r="U89" s="105"/>
      <c r="V89" s="123" t="s">
        <v>82</v>
      </c>
      <c r="W89" s="123" t="s">
        <v>83</v>
      </c>
      <c r="X89" s="123" t="s">
        <v>57</v>
      </c>
      <c r="Y89" s="123" t="s">
        <v>58</v>
      </c>
      <c r="Z89" s="126" t="str">
        <f>IF(NOT(ISBLANK(HostBuild[[#This Row],[Product 
(Acronym)]])),CONCATENATE(HostBuild[[#This Row],[Type]],"-",HostBuild[[#This Row],[Product 
(Acronym)]]),"")</f>
        <v>AP-ESB</v>
      </c>
      <c r="AA89" s="106"/>
      <c r="AB89" s="106" t="s">
        <v>171</v>
      </c>
      <c r="AC89" s="41"/>
      <c r="AD89" s="42"/>
      <c r="AE89" s="42"/>
      <c r="AF89" s="43"/>
      <c r="AG89" s="124"/>
      <c r="AH89" s="107"/>
      <c r="AI89" s="124" t="s">
        <v>173</v>
      </c>
      <c r="AJ89" s="123">
        <f>IF(COUNTIF(HostBuild[Alias],HostBuild[Alias]),1/COUNTIF(HostBuild[Alias],HostBuild[Alias]),0)</f>
        <v>1</v>
      </c>
      <c r="AK89" s="124"/>
      <c r="AL89" s="124"/>
      <c r="AM89" s="44" t="s">
        <v>62</v>
      </c>
      <c r="AN89" s="45" t="str">
        <f>IF(NOT(ISBLANK(HostBuild[Server Model])),VLOOKUP(HostBuild[Server Model],[1]!ServerModelsTier[#Data],2,FALSE),"")</f>
        <v>x86 Tier 3</v>
      </c>
      <c r="AO89" s="45" t="str">
        <f>IF(NOT(ISBLANK(HostBuild[Server Model])),VLOOKUP(HostBuild[Server Model],[1]!ServerModelsTier[#Data],5,FALSE),"")</f>
        <v>x86</v>
      </c>
      <c r="AP89" s="44"/>
      <c r="AQ89" s="44" t="s">
        <v>63</v>
      </c>
      <c r="AR89" s="46"/>
      <c r="AS89" s="108"/>
      <c r="AT89" s="47">
        <v>16</v>
      </c>
      <c r="AU89" s="109" t="str">
        <f>IF(IFERROR(FIND("P-Series",HostBuild[Server Tier]),0),CEILING((HostBuild[Existing CPUs]+HostBuild[CPU])*16,8),"")</f>
        <v/>
      </c>
      <c r="AV89" s="48"/>
      <c r="AW89" s="124"/>
      <c r="AX89" s="124"/>
      <c r="AY89" s="124"/>
      <c r="AZ89" s="49"/>
      <c r="BA89" s="124"/>
      <c r="BB89" s="124"/>
      <c r="BC89" s="42"/>
      <c r="BD89" s="124"/>
      <c r="BE89" s="124"/>
      <c r="BF89" s="124"/>
      <c r="BG89" s="124"/>
      <c r="BH89" s="124"/>
      <c r="BI89" s="124"/>
      <c r="BJ89" s="124"/>
      <c r="BK89"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89" s="127">
        <v>150</v>
      </c>
      <c r="BM89" s="129">
        <f>IF(ISNUMBER(HostBuild[Recommended SAN (GB)]),HostBuild[Recommended SAN (GB)])+IF(HostBuild[Additional SAN (GB)]&gt;0,CEILING(HostBuild[Additional SAN (GB)],LUN),-(CEILING(-HostBuild[Additional SAN (GB)],LUN)))</f>
        <v>168.5</v>
      </c>
      <c r="BN89" s="128"/>
      <c r="BO89" s="129">
        <f>HostBuild[SAN (GB)
NEEDED TODAY]+CEILING(HostBuild[SAN (GB)
RESERVED
DO NOT USE TO BUILD], LUN)</f>
        <v>168.5</v>
      </c>
      <c r="BP89" s="130"/>
      <c r="BQ89" s="131"/>
      <c r="BR89" s="125" t="s">
        <v>76</v>
      </c>
      <c r="BS89" s="110">
        <f>IF(HostBuild[Existing Server?]&lt;&gt;"Yes - Inside this BoM",IF(ISNUMBER(HostBuild[RAM 
(GB)]),IF(HostBuild[Existing RAM (GB)]+HostBuild[RAM 
(GB)]&gt;0,IF(HostBuild[Virtual Platform Storage Type]="NAS",110+HostBuild[Existing RAM (GB)]+HostBuild[RAM 
(GB)]*1.75,0),0),0),0)</f>
        <v>0</v>
      </c>
      <c r="BT89" s="111"/>
      <c r="BU89" s="112">
        <f>IF(ISNUMBER(HostBuild[Recommended NAS (GB)]),HostBuild[Recommended NAS (GB)])+HostBuild[Additional NAS (GB)]</f>
        <v>0</v>
      </c>
      <c r="BV89" s="50"/>
      <c r="BW89" s="50"/>
      <c r="BX89" s="133">
        <f>IFERROR((HostBuild[SAN (GB)
End-State
DO NOT USE TO BUILD]+HostBuild[SAN (GB) Shared])*25%,"")</f>
        <v>42.125</v>
      </c>
      <c r="BY89" s="113">
        <f>IFERROR(HostBuild[Archive
Full (GB)]*15%,"")</f>
        <v>6.3187499999999996</v>
      </c>
      <c r="BZ89" s="51"/>
      <c r="CA89" s="51"/>
      <c r="CB89" s="52"/>
      <c r="CC89" s="53"/>
      <c r="CD89" s="52"/>
      <c r="CE89" s="54"/>
      <c r="CF89" s="128"/>
      <c r="CG89" s="114"/>
      <c r="CH89" s="55"/>
      <c r="CI89" s="56"/>
      <c r="CJ89" s="57"/>
      <c r="CK89" s="58"/>
      <c r="CL89" s="59">
        <f>IFERROR(IF(FIND(CL$1,$W89)&gt;0,IF(INDEX([1]!Product_Pricing_Table[#Data],MATCH(CL$1,Products,0),2)="Cores",IF(HostBuild[Use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89" s="59">
        <f>IFERROR(IF(FIND(CM$1,$W89)&gt;0,IF(INDEX([1]!Product_Pricing_Table[#Data],MATCH(CM$1,Products,0),2)="Cores",IF(HostBuild[Use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89" s="59">
        <f>IFERROR(IF(FIND(CN$1,$W89)&gt;0,IF(INDEX([1]!Product_Pricing_Table[#Data],MATCH(CN$1,Products,0),2)="Cores",IF(HostBuild[Use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89" s="59">
        <f>IFERROR(IF(FIND(CO$1,$W89)&gt;0,IF(INDEX([1]!Product_Pricing_Table[#Data],MATCH(CO$1,Products,0),2)="Cores",IF(HostBuild[Use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89" s="59">
        <f>IFERROR(IF(FIND(CP$1,$W89)&gt;0,IF(INDEX([1]!Product_Pricing_Table[#Data],MATCH(CP$1,Products,0),2)="Cores",IF(HostBuild[Use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89" s="59">
        <f>IFERROR(IF(FIND(CQ$1,$W89)&gt;0,IF(INDEX([1]!Product_Pricing_Table[#Data],MATCH(CQ$1,Products,0),2)="Cores",IF(HostBuild[Use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89" s="59">
        <f>IFERROR(IF(FIND(CR$1,$W89)&gt;0,IF(INDEX([1]!Product_Pricing_Table[#Data],MATCH(CR$1,Products,0),2)="Cores",IF(HostBuild[Use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89" s="59">
        <f>IFERROR(IF(FIND(CS$1,$W89)&gt;0,IF(INDEX([1]!Product_Pricing_Table[#Data],MATCH(CS$1,Products,0),2)="Cores",IF(HostBuild[Use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89" s="59">
        <f>IFERROR(IF(FIND(CT$1,$W89)&gt;0,IF(INDEX([1]!Product_Pricing_Table[#Data],MATCH(CT$1,Products,0),2)="Cores",IF(HostBuild[Use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89" s="59">
        <f>IFERROR(IF(FIND(CU$1,$W89)&gt;0,IF(INDEX([1]!Product_Pricing_Table[#Data],MATCH(CU$1,Products,0),2)="Cores",IF(HostBuild[Use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89" s="59">
        <f>IFERROR(IF(FIND(CV$1,$W89)&gt;0,IF(INDEX([1]!Product_Pricing_Table[#Data],MATCH(CV$1,Products,0),2)="Cores",IF(HostBuild[Use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89" s="59">
        <f>IFERROR(IF(FIND(CW$1,$W89)&gt;0,IF(INDEX([1]!Product_Pricing_Table[#Data],MATCH(CW$1,Products,0),2)="Cores",IF(HostBuild[Use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89" s="59">
        <f>IFERROR(IF(FIND(CX$1,$W89)&gt;0,IF(INDEX([1]!Product_Pricing_Table[#Data],MATCH(CX$1,Products,0),2)="Cores",IF(HostBuild[Use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89" s="59">
        <f>IFERROR(IF(FIND(CY$1,$W89)&gt;0,IF(INDEX([1]!Product_Pricing_Table[#Data],MATCH(CY$1,Products,0),2)="Cores",IF(HostBuild[Use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89" s="59">
        <f>IFERROR(IF(FIND(CZ$1,$W89)&gt;0,IF(INDEX([1]!Product_Pricing_Table[#Data],MATCH(CZ$1,Products,0),2)="Cores",IF(HostBuild[Use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89" s="59">
        <f>IFERROR(IF(FIND(DA$1,$W89)&gt;0,IF(INDEX([1]!Product_Pricing_Table[#Data],MATCH(DA$1,Products,0),2)="Cores",IF(HostBuild[Use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89" s="59">
        <f>IFERROR(IF(FIND(DB$1,$W89)&gt;0,IF(INDEX([1]!Product_Pricing_Table[#Data],MATCH(DB$1,Products,0),2)="Cores",IF(HostBuild[Use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89" s="59">
        <f>IFERROR(IF(FIND(DC$1,$W89)&gt;0,IF(INDEX([1]!Product_Pricing_Table[#Data],MATCH(DC$1,Products,0),2)="Cores",IF(HostBuild[Use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89" s="59">
        <f>IFERROR(IF(FIND(DD$1,$W89)&gt;0,IF(INDEX([1]!Product_Pricing_Table[#Data],MATCH(DD$1,Products,0),2)="Cores",IF(HostBuild[Use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89" s="59">
        <f>IFERROR(IF(FIND(DE$1,$W89)&gt;0,IF(INDEX([1]!Product_Pricing_Table[#Data],MATCH(DE$1,Products,0),2)="Cores",IF(HostBuild[Use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89" s="60">
        <f>IFERROR(IF(FIND(DF$1,$W89)&gt;0,IF(INDEX([1]!Product_Pricing_Table[#Data],MATCH(DF$1,Products,0),2)="Cores",IF(HostBuild[Use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89" s="60">
        <f>IFERROR(IF(FIND(DG$1,$W89)&gt;0,IF(INDEX([1]!Product_Pricing_Table[#Data],MATCH(DG$1,Products,0),2)="Cores",IF(HostBuild[Use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89" s="59">
        <f>IFERROR(IF(FIND(DH$1,$W89)&gt;0,IF(INDEX([1]!Product_Pricing_Table[#Data],MATCH(DH$1,Products,0),2)="Cores",IF(HostBuild[Use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89" s="60">
        <f>IFERROR(IF(FIND(DI$1,$W89)&gt;0,IF(INDEX([1]!Product_Pricing_Table[#Data],MATCH(DI$1,Products,0),2)="Cores",IF(HostBuild[Use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89" s="59">
        <f>IFERROR(IF(FIND(DJ$1,$W89)&gt;0,IF(INDEX([1]!Product_Pricing_Table[#Data],MATCH(DJ$1,Products,0),2)="Cores",IF(HostBuild[Use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89" s="59">
        <f>IFERROR(IF(FIND(DK$1,$W89)&gt;0,IF(INDEX([1]!Product_Pricing_Table[#Data],MATCH(DK$1,Products,0),2)="Cores",IF(HostBuild[Use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89" s="59">
        <f>IFERROR(IF(FIND(DL$1,$W89)&gt;0,IF(INDEX([1]!Product_Pricing_Table[#Data],MATCH(DL$1,Products,0),2)="Cores",IF(HostBuild[Use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89" s="59">
        <f>IFERROR(IF(FIND(DM$1,$W89)&gt;0,IF(INDEX([1]!Product_Pricing_Table[#Data],MATCH(DM$1,Products,0),2)="Cores",IF(HostBuild[Use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89" s="59">
        <f>IFERROR(IF(FIND(DN$1,$W89)&gt;0,IF(INDEX([1]!Product_Pricing_Table[#Data],MATCH(DN$1,Products,0),2)="Cores",IF(HostBuild[Use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89" s="59">
        <f>IFERROR(IF(FIND(DO$1,$W89)&gt;0,IF(INDEX([1]!Product_Pricing_Table[#Data],MATCH(DO$1,Products,0),2)="Cores",IF(HostBuild[Use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89" s="59">
        <f>IFERROR(IF(FIND(DP$1,$W89)&gt;0,IF(INDEX([1]!Product_Pricing_Table[#Data],MATCH(DP$1,Products,0),2)="Cores",IF(HostBuild[Use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89" s="59">
        <f>IFERROR(IF(FIND(DQ$1,$W89)&gt;0,IF(INDEX([1]!Product_Pricing_Table[#Data],MATCH(DQ$1,Products,0),2)="Cores",IF(HostBuild[Use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89" s="59">
        <f>IFERROR(IF(FIND(DR$1,$W89)&gt;0,IF(INDEX([1]!Product_Pricing_Table[#Data],MATCH(DR$1,Products,0),2)="Cores",IF(HostBuild[Use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89" s="59">
        <f>IFERROR(IF(FIND(DS$1,$W89)&gt;0,IF(INDEX([1]!Product_Pricing_Table[#Data],MATCH(DS$1,Products,0),2)="Cores",IF(HostBuild[Use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89" s="59">
        <f>IFERROR(IF(FIND(DT$1,$W89)&gt;0,IF(INDEX([1]!Product_Pricing_Table[#Data],MATCH(DT$1,Products,0),2)="Cores",IF(HostBuild[Use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89" s="59">
        <f>IFERROR(IF(FIND(DU$1,$W89)&gt;0,IF(INDEX([1]!Product_Pricing_Table[#Data],MATCH(DU$1,Products,0),2)="Cores",IF(HostBuild[Use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89" s="59">
        <f>IFERROR(IF(FIND(DV$1,$W89)&gt;0,IF(INDEX([1]!Product_Pricing_Table[#Data],MATCH(DV$1,Products,0),2)="Cores",IF(HostBuild[Use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89" s="59">
        <f>IFERROR(IF(FIND(DW$1,$W89)&gt;0,IF(INDEX([1]!Product_Pricing_Table[#Data],MATCH(DW$1,Products,0),2)="Cores",IF(HostBuild[Use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89" s="59">
        <f>IFERROR(IF(FIND(DX$1,$W89)&gt;0,IF(INDEX([1]!Product_Pricing_Table[#Data],MATCH(DX$1,Products,0),2)="Cores",IF(HostBuild[Use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89" s="59">
        <f>IFERROR(IF(FIND(DY$1,$W89)&gt;0,IF(INDEX([1]!Product_Pricing_Table[#Data],MATCH(DY$1,Products,0),2)="Cores",IF(HostBuild[Use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89" s="59">
        <f>IFERROR(IF(FIND(DZ$1,$W89)&gt;0,IF(INDEX([1]!Product_Pricing_Table[#Data],MATCH(DZ$1,Products,0),2)="Cores",IF(HostBuild[Use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89" s="59">
        <f>IFERROR(IF(FIND(EA$1,$W89)&gt;0,IF(INDEX([1]!Product_Pricing_Table[#Data],MATCH(EA$1,Products,0),2)="Cores",IF(HostBuild[Use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89" s="59">
        <f>IFERROR(IF(FIND(EB$1,$W89)&gt;0,IF(INDEX([1]!Product_Pricing_Table[#Data],MATCH(EB$1,Products,0),2)="Cores",IF(HostBuild[Use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89" s="60">
        <f>IFERROR(IF(FIND(EC$1,$W89)&gt;0,IF(INDEX([1]!Product_Pricing_Table[#Data],MATCH(EC$1,Products,0),2)="Cores",IF(HostBuild[Use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89" s="59">
        <f>IFERROR(IF(FIND(ED$1,$W89)&gt;0,IF(INDEX([1]!Product_Pricing_Table[#Data],MATCH(ED$1,Products,0),2)="Cores",IF(HostBuild[Use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89" s="59">
        <f>IFERROR(IF(FIND(EE$1,$W89)&gt;0,IF(INDEX([1]!Product_Pricing_Table[#Data],MATCH(EE$1,Products,0),2)="Cores",IF(HostBuild[Use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89" s="59">
        <f>IFERROR(IF(FIND(EF$1,$W89)&gt;0,IF(INDEX([1]!Product_Pricing_Table[#Data],MATCH(EF$1,Products,0),2)="Cores",IF(HostBuild[Use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89" s="59">
        <f>IFERROR(IF(FIND(EG$1,$W89)&gt;0,IF(INDEX([1]!Product_Pricing_Table[#Data],MATCH(EG$1,Products,0),2)="Cores",IF(HostBuild[Use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89" s="59">
        <f>IFERROR(IF(FIND(EH$1,$W89)&gt;0,IF(INDEX([1]!Product_Pricing_Table[#Data],MATCH(EH$1,Products,0),2)="Cores",IF(HostBuild[Use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89" s="59">
        <f>IFERROR(IF(FIND(EI$1,$W89)&gt;0,IF(INDEX([1]!Product_Pricing_Table[#Data],MATCH(EI$1,Products,0),2)="Cores",IF(HostBuild[Use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89" s="59">
        <f>IFERROR(IF(FIND(EJ$1,$W89)&gt;0,IF(INDEX([1]!Product_Pricing_Table[#Data],MATCH(EJ$1,Products,0),2)="Cores",IF(HostBuild[Use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89" s="60">
        <f>IFERROR(IF(FIND(EK$1,$W89)&gt;0,IF(INDEX([1]!Product_Pricing_Table[#Data],MATCH(EK$1,Products,0),2)="Cores",IF(HostBuild[Use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89" s="61"/>
      <c r="EM89" s="62"/>
      <c r="EN89" s="63"/>
      <c r="EO89"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8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89" s="132">
        <f>(HostBuild[Archive
Full (GB)]+HostBuild[Archive
Incr (GB)])*Storage_DC_Dist_Tape_2014</f>
        <v>16.955312499999998</v>
      </c>
      <c r="ER89" s="132">
        <f>IF(ISNUMBER(HostBuild[Server HW Costs
(Monthly)]),SUM(HostBuild[[#This Row],[Server HW Costs
(Monthly)]:[Tape Costs
(Monthly)]]),0)</f>
        <v>92.780312500000008</v>
      </c>
      <c r="ES89" s="65">
        <f>HostBuild[Software Costs
'[Year 1']
(Monthly)]+HostBuild[Total Hardware Costs
(Monthly)]</f>
        <v>92.780312500000008</v>
      </c>
      <c r="ET89" s="65">
        <f>IFERROR(IF(FIND("Safenet",HostBuild[Server Model]),Safenet_PSE_PL600_Maint,0),0)+IFERROR(IF(FIND("XI52",HostBuild[Server Model]),IBM_DIA_XI52_Maint,0),0)+HostBuild[Software Costs
'[After Year 1']
(Monthly)]+HostBuild[Total Hardware Costs
(Monthly)]</f>
        <v>92.780312500000008</v>
      </c>
      <c r="EU89" s="66">
        <f>SUM(HostBuild[[#This Row],[Server Cost Breakdown]:[Network Cost]])</f>
        <v>0</v>
      </c>
      <c r="EV89" s="67">
        <f>IF(HostBuild[Existing Server?]="Yes - Inside this BoM",0,SUMIF(HostBuild[Alias],HostBuild[Alias],HostBuild[CPU])+SUMIF(HostBuild[Alias],HostBuild[Alias],HostBuild[Existing CPUs]))</f>
        <v>0</v>
      </c>
      <c r="EW89" s="67">
        <f>IF(HostBuild[Existing Server?]="Yes - Inside this BoM",0,SUMIF(HostBuild[Alias],HostBuild[Alias],HostBuild[Cores 
(Licensed Units)])+SUMIF(HostBuild[Alias],HostBuild[Alias],HostBuild[Existing Cores]))</f>
        <v>0</v>
      </c>
      <c r="EX89" s="67">
        <f>IF(HostBuild[Existing Server?]="Yes - Inside this BoM",0,SUMIF(HostBuild[Alias],HostBuild[Alias],HostBuild[RAM 
(GB)])+SUMIF(HostBuild[Alias],HostBuild[Alias],HostBuild[Existing RAM (GB)]))</f>
        <v>0</v>
      </c>
      <c r="EY8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8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8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8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89" s="66">
        <f>IF(ISBLANK(HostBuild[Server Model]),0,IF(HostBuild[Server Tier]="VMware",0,VLOOKUP(HostBuild[Server Tier],[1]!ServerTierRates[#Data],2,0))*HostBuild[CPU]*IF(AND(HostBuild[Server Type]="pSeries",HostBuild[Virtual Platform Storage Type]="Cloud-SAN"),0.25,1))</f>
        <v>0</v>
      </c>
      <c r="FD89" s="66">
        <f>0</f>
        <v>0</v>
      </c>
      <c r="FE89" s="66">
        <f>IF(HostBuild[Server Type]="VMware",HostBuild[RAM 
(GB)]*IF(ISERROR(FIND("DevCloud", HostBuild[Server Model])&gt;0),vRAM_per_vCPU_2014_Monthly,vRAM_per_vCPU_2014_Daily*30),0)</f>
        <v>0</v>
      </c>
      <c r="FF8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8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89" s="69">
        <f>IF(HostBuild[Server Tier]="VMware",0,IF(LEFT(HostBuild[Existing Server?],3)="Yes",0,IF(OR(HostBuild[Server Type]="Sun",HostBuild[Server Type]="pSeries"),Support_Direct_Server_Sun_per_OS_2014,IF(HostBuild[Server Type]="x86",Support_Direct_Server_x86_Wintel_per_OS_2014,0))))</f>
        <v>0</v>
      </c>
      <c r="FI8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0" spans="1:165" hidden="1">
      <c r="A90" s="122" t="s">
        <v>53</v>
      </c>
      <c r="B90" s="36"/>
      <c r="C90" s="36"/>
      <c r="D90" s="36"/>
      <c r="E90" s="37"/>
      <c r="F90" s="37"/>
      <c r="G90" s="103"/>
      <c r="H90" s="103"/>
      <c r="I90" s="38"/>
      <c r="J90" s="37"/>
      <c r="K90" s="37"/>
      <c r="L90" s="37"/>
      <c r="M90" s="103" t="e">
        <f ca="1">IF(rngIsDate(HostBuild[CTO Acceptance]),"Y","N")</f>
        <v>#NAME?</v>
      </c>
      <c r="N90" s="123" t="s">
        <v>3</v>
      </c>
      <c r="O90" s="39"/>
      <c r="P90" s="39"/>
      <c r="Q90" s="123" t="s">
        <v>1</v>
      </c>
      <c r="R90" s="126" t="str">
        <f>IF(NOT(ISBLANK(HostBuild[Env Label])),IFERROR(VLOOKUP(HostBuild[Env Label],[1]!tEnv[#Data],3,FALSE),""),"")</f>
        <v/>
      </c>
      <c r="S90" s="104"/>
      <c r="T90" s="40"/>
      <c r="U90" s="105"/>
      <c r="V90" s="123" t="s">
        <v>82</v>
      </c>
      <c r="W90" s="123" t="s">
        <v>83</v>
      </c>
      <c r="X90" s="123" t="s">
        <v>57</v>
      </c>
      <c r="Y90" s="123" t="s">
        <v>58</v>
      </c>
      <c r="Z90" s="126" t="str">
        <f>IF(NOT(ISBLANK(HostBuild[[#This Row],[Product 
(Acronym)]])),CONCATENATE(HostBuild[[#This Row],[Type]],"-",HostBuild[[#This Row],[Product 
(Acronym)]]),"")</f>
        <v>AP-ESB</v>
      </c>
      <c r="AA90" s="106"/>
      <c r="AB90" s="106" t="s">
        <v>171</v>
      </c>
      <c r="AC90" s="41"/>
      <c r="AD90" s="42"/>
      <c r="AE90" s="42"/>
      <c r="AF90" s="43"/>
      <c r="AG90" s="124"/>
      <c r="AH90" s="107"/>
      <c r="AI90" s="124" t="s">
        <v>174</v>
      </c>
      <c r="AJ90" s="123">
        <f>IF(COUNTIF(HostBuild[Alias],HostBuild[Alias]),1/COUNTIF(HostBuild[Alias],HostBuild[Alias]),0)</f>
        <v>1</v>
      </c>
      <c r="AK90" s="124"/>
      <c r="AL90" s="124"/>
      <c r="AM90" s="44" t="s">
        <v>101</v>
      </c>
      <c r="AN90" s="45" t="str">
        <f>IF(NOT(ISBLANK(HostBuild[Server Model])),VLOOKUP(HostBuild[Server Model],[1]!ServerModelsTier[#Data],2,FALSE),"")</f>
        <v>IBM P-Series Tier 2</v>
      </c>
      <c r="AO90" s="45" t="str">
        <f>IF(NOT(ISBLANK(HostBuild[Server Model])),VLOOKUP(HostBuild[Server Model],[1]!ServerModelsTier[#Data],5,FALSE),"")</f>
        <v>pSeries</v>
      </c>
      <c r="AP90" s="44"/>
      <c r="AQ90" s="44" t="s">
        <v>63</v>
      </c>
      <c r="AR90" s="47"/>
      <c r="AS90" s="108"/>
      <c r="AT90" s="47">
        <v>16</v>
      </c>
      <c r="AU90" s="109"/>
      <c r="AV90" s="48"/>
      <c r="AW90" s="124"/>
      <c r="AX90" s="124"/>
      <c r="AY90" s="124"/>
      <c r="AZ90" s="49"/>
      <c r="BA90" s="124"/>
      <c r="BB90" s="124"/>
      <c r="BC90" s="42"/>
      <c r="BD90" s="124"/>
      <c r="BE90" s="124"/>
      <c r="BF90" s="124"/>
      <c r="BG90" s="124"/>
      <c r="BH90" s="124"/>
      <c r="BI90" s="124"/>
      <c r="BJ90" s="124"/>
      <c r="BK90"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90" s="127">
        <v>150</v>
      </c>
      <c r="BM90" s="129">
        <f>IF(ISNUMBER(HostBuild[Recommended SAN (GB)]),HostBuild[Recommended SAN (GB)])+IF(HostBuild[Additional SAN (GB)]&gt;0,CEILING(HostBuild[Additional SAN (GB)],LUN),-(CEILING(-HostBuild[Additional SAN (GB)],LUN)))</f>
        <v>168.5</v>
      </c>
      <c r="BN90" s="128"/>
      <c r="BO90" s="129">
        <f>HostBuild[SAN (GB)
NEEDED TODAY]+CEILING(HostBuild[SAN (GB)
RESERVED
DO NOT USE TO BUILD], LUN)</f>
        <v>168.5</v>
      </c>
      <c r="BP90" s="130"/>
      <c r="BQ90" s="131"/>
      <c r="BR90" s="125" t="s">
        <v>76</v>
      </c>
      <c r="BS90" s="110">
        <f>IF(HostBuild[Existing Server?]&lt;&gt;"Yes - Inside this BoM",IF(ISNUMBER(HostBuild[RAM 
(GB)]),IF(HostBuild[Existing RAM (GB)]+HostBuild[RAM 
(GB)]&gt;0,IF(HostBuild[Virtual Platform Storage Type]="NAS",110+HostBuild[Existing RAM (GB)]+HostBuild[RAM 
(GB)]*1.75,0),0),0),0)</f>
        <v>0</v>
      </c>
      <c r="BT90" s="111"/>
      <c r="BU90" s="112">
        <f>IF(ISNUMBER(HostBuild[Recommended NAS (GB)]),HostBuild[Recommended NAS (GB)])+HostBuild[Additional NAS (GB)]</f>
        <v>0</v>
      </c>
      <c r="BV90" s="50"/>
      <c r="BW90" s="50"/>
      <c r="BX90" s="133">
        <f>IFERROR((HostBuild[SAN (GB)
End-State
DO NOT USE TO BUILD]+HostBuild[SAN (GB) Shared])*25%,"")</f>
        <v>42.125</v>
      </c>
      <c r="BY90" s="113">
        <f>IFERROR(HostBuild[Archive
Full (GB)]*15%,"")</f>
        <v>6.3187499999999996</v>
      </c>
      <c r="BZ90" s="51"/>
      <c r="CA90" s="51"/>
      <c r="CB90" s="52"/>
      <c r="CC90" s="53"/>
      <c r="CD90" s="52"/>
      <c r="CE90" s="54"/>
      <c r="CF90" s="128"/>
      <c r="CG90" s="114"/>
      <c r="CH90" s="55"/>
      <c r="CI90" s="56"/>
      <c r="CJ90" s="57"/>
      <c r="CK90" s="58"/>
      <c r="CL90" s="59">
        <f>IFERROR(IF(FIND(CL$1,$W90)&gt;0,IF(INDEX([1]!Product_Pricing_Table[#Data],MATCH(CL$1,Products,0),2)="Cores",IF(HostBuild[Use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0" s="59">
        <f>IFERROR(IF(FIND(CM$1,$W90)&gt;0,IF(INDEX([1]!Product_Pricing_Table[#Data],MATCH(CM$1,Products,0),2)="Cores",IF(HostBuild[Use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0" s="59">
        <f>IFERROR(IF(FIND(CN$1,$W90)&gt;0,IF(INDEX([1]!Product_Pricing_Table[#Data],MATCH(CN$1,Products,0),2)="Cores",IF(HostBuild[Use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0" s="59">
        <f>IFERROR(IF(FIND(CO$1,$W90)&gt;0,IF(INDEX([1]!Product_Pricing_Table[#Data],MATCH(CO$1,Products,0),2)="Cores",IF(HostBuild[Use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0" s="59">
        <f>IFERROR(IF(FIND(CP$1,$W90)&gt;0,IF(INDEX([1]!Product_Pricing_Table[#Data],MATCH(CP$1,Products,0),2)="Cores",IF(HostBuild[Use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0" s="59">
        <f>IFERROR(IF(FIND(CQ$1,$W90)&gt;0,IF(INDEX([1]!Product_Pricing_Table[#Data],MATCH(CQ$1,Products,0),2)="Cores",IF(HostBuild[Use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0" s="59">
        <f>IFERROR(IF(FIND(CR$1,$W90)&gt;0,IF(INDEX([1]!Product_Pricing_Table[#Data],MATCH(CR$1,Products,0),2)="Cores",IF(HostBuild[Use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0" s="59">
        <f>IFERROR(IF(FIND(CS$1,$W90)&gt;0,IF(INDEX([1]!Product_Pricing_Table[#Data],MATCH(CS$1,Products,0),2)="Cores",IF(HostBuild[Use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0" s="59">
        <f>IFERROR(IF(FIND(CT$1,$W90)&gt;0,IF(INDEX([1]!Product_Pricing_Table[#Data],MATCH(CT$1,Products,0),2)="Cores",IF(HostBuild[Use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0" s="59">
        <f>IFERROR(IF(FIND(CU$1,$W90)&gt;0,IF(INDEX([1]!Product_Pricing_Table[#Data],MATCH(CU$1,Products,0),2)="Cores",IF(HostBuild[Use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0" s="59">
        <f>IFERROR(IF(FIND(CV$1,$W90)&gt;0,IF(INDEX([1]!Product_Pricing_Table[#Data],MATCH(CV$1,Products,0),2)="Cores",IF(HostBuild[Use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0" s="59">
        <f>IFERROR(IF(FIND(CW$1,$W90)&gt;0,IF(INDEX([1]!Product_Pricing_Table[#Data],MATCH(CW$1,Products,0),2)="Cores",IF(HostBuild[Use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0" s="59">
        <f>IFERROR(IF(FIND(CX$1,$W90)&gt;0,IF(INDEX([1]!Product_Pricing_Table[#Data],MATCH(CX$1,Products,0),2)="Cores",IF(HostBuild[Use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0" s="59">
        <f>IFERROR(IF(FIND(CY$1,$W90)&gt;0,IF(INDEX([1]!Product_Pricing_Table[#Data],MATCH(CY$1,Products,0),2)="Cores",IF(HostBuild[Use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0" s="59">
        <f>IFERROR(IF(FIND(CZ$1,$W90)&gt;0,IF(INDEX([1]!Product_Pricing_Table[#Data],MATCH(CZ$1,Products,0),2)="Cores",IF(HostBuild[Use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0" s="59">
        <f>IFERROR(IF(FIND(DA$1,$W90)&gt;0,IF(INDEX([1]!Product_Pricing_Table[#Data],MATCH(DA$1,Products,0),2)="Cores",IF(HostBuild[Use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0" s="59">
        <f>IFERROR(IF(FIND(DB$1,$W90)&gt;0,IF(INDEX([1]!Product_Pricing_Table[#Data],MATCH(DB$1,Products,0),2)="Cores",IF(HostBuild[Use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0" s="59">
        <f>IFERROR(IF(FIND(DC$1,$W90)&gt;0,IF(INDEX([1]!Product_Pricing_Table[#Data],MATCH(DC$1,Products,0),2)="Cores",IF(HostBuild[Use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0" s="59">
        <f>IFERROR(IF(FIND(DD$1,$W90)&gt;0,IF(INDEX([1]!Product_Pricing_Table[#Data],MATCH(DD$1,Products,0),2)="Cores",IF(HostBuild[Use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0" s="59">
        <f>IFERROR(IF(FIND(DE$1,$W90)&gt;0,IF(INDEX([1]!Product_Pricing_Table[#Data],MATCH(DE$1,Products,0),2)="Cores",IF(HostBuild[Use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0" s="60">
        <f>IFERROR(IF(FIND(DF$1,$W90)&gt;0,IF(INDEX([1]!Product_Pricing_Table[#Data],MATCH(DF$1,Products,0),2)="Cores",IF(HostBuild[Use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0" s="60">
        <f>IFERROR(IF(FIND(DG$1,$W90)&gt;0,IF(INDEX([1]!Product_Pricing_Table[#Data],MATCH(DG$1,Products,0),2)="Cores",IF(HostBuild[Use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0" s="59">
        <f>IFERROR(IF(FIND(DH$1,$W90)&gt;0,IF(INDEX([1]!Product_Pricing_Table[#Data],MATCH(DH$1,Products,0),2)="Cores",IF(HostBuild[Use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0" s="60">
        <f>IFERROR(IF(FIND(DI$1,$W90)&gt;0,IF(INDEX([1]!Product_Pricing_Table[#Data],MATCH(DI$1,Products,0),2)="Cores",IF(HostBuild[Use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0" s="59">
        <f>IFERROR(IF(FIND(DJ$1,$W90)&gt;0,IF(INDEX([1]!Product_Pricing_Table[#Data],MATCH(DJ$1,Products,0),2)="Cores",IF(HostBuild[Use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0" s="59">
        <f>IFERROR(IF(FIND(DK$1,$W90)&gt;0,IF(INDEX([1]!Product_Pricing_Table[#Data],MATCH(DK$1,Products,0),2)="Cores",IF(HostBuild[Use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0" s="59">
        <f>IFERROR(IF(FIND(DL$1,$W90)&gt;0,IF(INDEX([1]!Product_Pricing_Table[#Data],MATCH(DL$1,Products,0),2)="Cores",IF(HostBuild[Use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0" s="59">
        <f>IFERROR(IF(FIND(DM$1,$W90)&gt;0,IF(INDEX([1]!Product_Pricing_Table[#Data],MATCH(DM$1,Products,0),2)="Cores",IF(HostBuild[Use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0" s="59">
        <f>IFERROR(IF(FIND(DN$1,$W90)&gt;0,IF(INDEX([1]!Product_Pricing_Table[#Data],MATCH(DN$1,Products,0),2)="Cores",IF(HostBuild[Use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0" s="59">
        <f>IFERROR(IF(FIND(DO$1,$W90)&gt;0,IF(INDEX([1]!Product_Pricing_Table[#Data],MATCH(DO$1,Products,0),2)="Cores",IF(HostBuild[Use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0" s="59">
        <f>IFERROR(IF(FIND(DP$1,$W90)&gt;0,IF(INDEX([1]!Product_Pricing_Table[#Data],MATCH(DP$1,Products,0),2)="Cores",IF(HostBuild[Use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0" s="59">
        <f>IFERROR(IF(FIND(DQ$1,$W90)&gt;0,IF(INDEX([1]!Product_Pricing_Table[#Data],MATCH(DQ$1,Products,0),2)="Cores",IF(HostBuild[Use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0" s="59">
        <f>IFERROR(IF(FIND(DR$1,$W90)&gt;0,IF(INDEX([1]!Product_Pricing_Table[#Data],MATCH(DR$1,Products,0),2)="Cores",IF(HostBuild[Use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0" s="59">
        <f>IFERROR(IF(FIND(DS$1,$W90)&gt;0,IF(INDEX([1]!Product_Pricing_Table[#Data],MATCH(DS$1,Products,0),2)="Cores",IF(HostBuild[Use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0" s="59">
        <f>IFERROR(IF(FIND(DT$1,$W90)&gt;0,IF(INDEX([1]!Product_Pricing_Table[#Data],MATCH(DT$1,Products,0),2)="Cores",IF(HostBuild[Use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0" s="59">
        <f>IFERROR(IF(FIND(DU$1,$W90)&gt;0,IF(INDEX([1]!Product_Pricing_Table[#Data],MATCH(DU$1,Products,0),2)="Cores",IF(HostBuild[Use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0" s="59">
        <f>IFERROR(IF(FIND(DV$1,$W90)&gt;0,IF(INDEX([1]!Product_Pricing_Table[#Data],MATCH(DV$1,Products,0),2)="Cores",IF(HostBuild[Use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0" s="59">
        <f>IFERROR(IF(FIND(DW$1,$W90)&gt;0,IF(INDEX([1]!Product_Pricing_Table[#Data],MATCH(DW$1,Products,0),2)="Cores",IF(HostBuild[Use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0" s="59">
        <f>IFERROR(IF(FIND(DX$1,$W90)&gt;0,IF(INDEX([1]!Product_Pricing_Table[#Data],MATCH(DX$1,Products,0),2)="Cores",IF(HostBuild[Use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0" s="59">
        <f>IFERROR(IF(FIND(DY$1,$W90)&gt;0,IF(INDEX([1]!Product_Pricing_Table[#Data],MATCH(DY$1,Products,0),2)="Cores",IF(HostBuild[Use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0" s="59">
        <f>IFERROR(IF(FIND(DZ$1,$W90)&gt;0,IF(INDEX([1]!Product_Pricing_Table[#Data],MATCH(DZ$1,Products,0),2)="Cores",IF(HostBuild[Use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0" s="59">
        <f>IFERROR(IF(FIND(EA$1,$W90)&gt;0,IF(INDEX([1]!Product_Pricing_Table[#Data],MATCH(EA$1,Products,0),2)="Cores",IF(HostBuild[Use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0" s="59">
        <f>IFERROR(IF(FIND(EB$1,$W90)&gt;0,IF(INDEX([1]!Product_Pricing_Table[#Data],MATCH(EB$1,Products,0),2)="Cores",IF(HostBuild[Use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0" s="60">
        <f>IFERROR(IF(FIND(EC$1,$W90)&gt;0,IF(INDEX([1]!Product_Pricing_Table[#Data],MATCH(EC$1,Products,0),2)="Cores",IF(HostBuild[Use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0" s="59">
        <f>IFERROR(IF(FIND(ED$1,$W90)&gt;0,IF(INDEX([1]!Product_Pricing_Table[#Data],MATCH(ED$1,Products,0),2)="Cores",IF(HostBuild[Use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0" s="59">
        <f>IFERROR(IF(FIND(EE$1,$W90)&gt;0,IF(INDEX([1]!Product_Pricing_Table[#Data],MATCH(EE$1,Products,0),2)="Cores",IF(HostBuild[Use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0" s="59">
        <f>IFERROR(IF(FIND(EF$1,$W90)&gt;0,IF(INDEX([1]!Product_Pricing_Table[#Data],MATCH(EF$1,Products,0),2)="Cores",IF(HostBuild[Use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0" s="59">
        <f>IFERROR(IF(FIND(EG$1,$W90)&gt;0,IF(INDEX([1]!Product_Pricing_Table[#Data],MATCH(EG$1,Products,0),2)="Cores",IF(HostBuild[Use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0" s="59">
        <f>IFERROR(IF(FIND(EH$1,$W90)&gt;0,IF(INDEX([1]!Product_Pricing_Table[#Data],MATCH(EH$1,Products,0),2)="Cores",IF(HostBuild[Use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0" s="59">
        <f>IFERROR(IF(FIND(EI$1,$W90)&gt;0,IF(INDEX([1]!Product_Pricing_Table[#Data],MATCH(EI$1,Products,0),2)="Cores",IF(HostBuild[Use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0" s="59">
        <f>IFERROR(IF(FIND(EJ$1,$W90)&gt;0,IF(INDEX([1]!Product_Pricing_Table[#Data],MATCH(EJ$1,Products,0),2)="Cores",IF(HostBuild[Use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0" s="60">
        <f>IFERROR(IF(FIND(EK$1,$W90)&gt;0,IF(INDEX([1]!Product_Pricing_Table[#Data],MATCH(EK$1,Products,0),2)="Cores",IF(HostBuild[Use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0" s="61"/>
      <c r="EM90" s="62">
        <v>172.46639999999999</v>
      </c>
      <c r="EN90" s="63">
        <v>30.198399999999999</v>
      </c>
      <c r="EO90"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9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90" s="132">
        <f>(HostBuild[Archive
Full (GB)]+HostBuild[Archive
Incr (GB)])*Storage_DC_Dist_Tape_2014</f>
        <v>16.955312499999998</v>
      </c>
      <c r="ER90" s="132">
        <f>IF(ISNUMBER(HostBuild[Server HW Costs
(Monthly)]),SUM(HostBuild[[#This Row],[Server HW Costs
(Monthly)]:[Tape Costs
(Monthly)]]),0)</f>
        <v>92.780312500000008</v>
      </c>
      <c r="ES90" s="65">
        <f>HostBuild[Software Costs
'[Year 1']
(Monthly)]+HostBuild[Total Hardware Costs
(Monthly)]</f>
        <v>265.2467125</v>
      </c>
      <c r="ET90" s="65">
        <f>IFERROR(IF(FIND("Safenet",HostBuild[Server Model]),Safenet_PSE_PL600_Maint,0),0)+IFERROR(IF(FIND("XI52",HostBuild[Server Model]),IBM_DIA_XI52_Maint,0),0)+HostBuild[Software Costs
'[After Year 1']
(Monthly)]+HostBuild[Total Hardware Costs
(Monthly)]</f>
        <v>122.9787125</v>
      </c>
      <c r="EU90" s="66">
        <f>SUM(HostBuild[[#This Row],[Server Cost Breakdown]:[Network Cost]])</f>
        <v>0</v>
      </c>
      <c r="EV90" s="67">
        <f>IF(HostBuild[Existing Server?]="Yes - Inside this BoM",0,SUMIF(HostBuild[Alias],HostBuild[Alias],HostBuild[CPU])+SUMIF(HostBuild[Alias],HostBuild[Alias],HostBuild[Existing CPUs]))</f>
        <v>0</v>
      </c>
      <c r="EW90" s="67">
        <f>IF(HostBuild[Existing Server?]="Yes - Inside this BoM",0,SUMIF(HostBuild[Alias],HostBuild[Alias],HostBuild[Cores 
(Licensed Units)])+SUMIF(HostBuild[Alias],HostBuild[Alias],HostBuild[Existing Cores]))</f>
        <v>0</v>
      </c>
      <c r="EX90" s="67">
        <f>IF(HostBuild[Existing Server?]="Yes - Inside this BoM",0,SUMIF(HostBuild[Alias],HostBuild[Alias],HostBuild[RAM 
(GB)])+SUMIF(HostBuild[Alias],HostBuild[Alias],HostBuild[Existing RAM (GB)]))</f>
        <v>0</v>
      </c>
      <c r="EY9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0" s="66">
        <f>IF(ISBLANK(HostBuild[Server Model]),0,IF(HostBuild[Server Tier]="VMware",0,VLOOKUP(HostBuild[Server Tier],[1]!ServerTierRates[#Data],2,0))*HostBuild[CPU]*IF(AND(HostBuild[Server Type]="pSeries",HostBuild[Virtual Platform Storage Type]="Cloud-SAN"),0.25,1))</f>
        <v>0</v>
      </c>
      <c r="FD90" s="66">
        <f>0</f>
        <v>0</v>
      </c>
      <c r="FE90" s="66">
        <f>IF(HostBuild[Server Type]="VMware",HostBuild[RAM 
(GB)]*IF(ISERROR(FIND("DevCloud", HostBuild[Server Model])&gt;0),vRAM_per_vCPU_2014_Monthly,vRAM_per_vCPU_2014_Daily*30),0)</f>
        <v>0</v>
      </c>
      <c r="FF9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0" s="69">
        <f>IF(HostBuild[Server Tier]="VMware",0,IF(LEFT(HostBuild[Existing Server?],3)="Yes",0,IF(OR(HostBuild[Server Type]="Sun",HostBuild[Server Type]="pSeries"),Support_Direct_Server_Sun_per_OS_2014,IF(HostBuild[Server Type]="x86",Support_Direct_Server_x86_Wintel_per_OS_2014,0))))</f>
        <v>0</v>
      </c>
      <c r="FI9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1" spans="1:165" hidden="1">
      <c r="A91" s="122" t="s">
        <v>53</v>
      </c>
      <c r="B91" s="36"/>
      <c r="C91" s="36"/>
      <c r="D91" s="36"/>
      <c r="E91" s="37"/>
      <c r="F91" s="37"/>
      <c r="G91" s="103"/>
      <c r="H91" s="103"/>
      <c r="I91" s="38"/>
      <c r="J91" s="37"/>
      <c r="K91" s="37"/>
      <c r="L91" s="37"/>
      <c r="M91" s="103" t="e">
        <f ca="1">IF(rngIsDate(HostBuild[CTO Acceptance]),"Y","N")</f>
        <v>#NAME?</v>
      </c>
      <c r="N91" s="123" t="s">
        <v>3</v>
      </c>
      <c r="O91" s="39"/>
      <c r="P91" s="39"/>
      <c r="Q91" s="123" t="s">
        <v>1</v>
      </c>
      <c r="R91" s="126" t="str">
        <f>IF(NOT(ISBLANK(HostBuild[Env Label])),IFERROR(VLOOKUP(HostBuild[Env Label],[1]!tEnv[#Data],3,FALSE),""),"")</f>
        <v/>
      </c>
      <c r="S91" s="104"/>
      <c r="T91" s="40"/>
      <c r="U91" s="105"/>
      <c r="V91" s="123" t="s">
        <v>82</v>
      </c>
      <c r="W91" s="123" t="s">
        <v>83</v>
      </c>
      <c r="X91" s="123" t="s">
        <v>57</v>
      </c>
      <c r="Y91" s="123" t="s">
        <v>58</v>
      </c>
      <c r="Z91" s="126" t="str">
        <f>IF(NOT(ISBLANK(HostBuild[[#This Row],[Product 
(Acronym)]])),CONCATENATE(HostBuild[[#This Row],[Type]],"-",HostBuild[[#This Row],[Product 
(Acronym)]]),"")</f>
        <v>AP-ESB</v>
      </c>
      <c r="AA91" s="106"/>
      <c r="AB91" s="106" t="s">
        <v>171</v>
      </c>
      <c r="AC91" s="41"/>
      <c r="AD91" s="42"/>
      <c r="AE91" s="42"/>
      <c r="AF91" s="43"/>
      <c r="AG91" s="124"/>
      <c r="AH91" s="107"/>
      <c r="AI91" s="124" t="s">
        <v>175</v>
      </c>
      <c r="AJ91" s="123">
        <f>IF(COUNTIF(HostBuild[Alias],HostBuild[Alias]),1/COUNTIF(HostBuild[Alias],HostBuild[Alias]),0)</f>
        <v>1</v>
      </c>
      <c r="AK91" s="124"/>
      <c r="AL91" s="124"/>
      <c r="AM91" s="44" t="s">
        <v>101</v>
      </c>
      <c r="AN91" s="45" t="str">
        <f>IF(NOT(ISBLANK(HostBuild[Server Model])),VLOOKUP(HostBuild[Server Model],[1]!ServerModelsTier[#Data],2,FALSE),"")</f>
        <v>IBM P-Series Tier 2</v>
      </c>
      <c r="AO91" s="45" t="str">
        <f>IF(NOT(ISBLANK(HostBuild[Server Model])),VLOOKUP(HostBuild[Server Model],[1]!ServerModelsTier[#Data],5,FALSE),"")</f>
        <v>pSeries</v>
      </c>
      <c r="AP91" s="44"/>
      <c r="AQ91" s="44" t="s">
        <v>63</v>
      </c>
      <c r="AR91" s="47"/>
      <c r="AS91" s="108"/>
      <c r="AT91" s="47">
        <v>16</v>
      </c>
      <c r="AU91" s="109"/>
      <c r="AV91" s="48"/>
      <c r="AW91" s="124"/>
      <c r="AX91" s="124"/>
      <c r="AY91" s="124"/>
      <c r="AZ91" s="49"/>
      <c r="BA91" s="124"/>
      <c r="BB91" s="124"/>
      <c r="BC91" s="42"/>
      <c r="BD91" s="124"/>
      <c r="BE91" s="124"/>
      <c r="BF91" s="124"/>
      <c r="BG91" s="124"/>
      <c r="BH91" s="124"/>
      <c r="BI91" s="124"/>
      <c r="BJ91" s="124"/>
      <c r="BK91"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91" s="127">
        <v>150</v>
      </c>
      <c r="BM91" s="129">
        <f>IF(ISNUMBER(HostBuild[Recommended SAN (GB)]),HostBuild[Recommended SAN (GB)])+IF(HostBuild[Additional SAN (GB)]&gt;0,CEILING(HostBuild[Additional SAN (GB)],LUN),-(CEILING(-HostBuild[Additional SAN (GB)],LUN)))</f>
        <v>168.5</v>
      </c>
      <c r="BN91" s="128"/>
      <c r="BO91" s="129">
        <f>HostBuild[SAN (GB)
NEEDED TODAY]+CEILING(HostBuild[SAN (GB)
RESERVED
DO NOT USE TO BUILD], LUN)</f>
        <v>168.5</v>
      </c>
      <c r="BP91" s="130"/>
      <c r="BQ91" s="131"/>
      <c r="BR91" s="125" t="s">
        <v>76</v>
      </c>
      <c r="BS91" s="110">
        <f>IF(HostBuild[Existing Server?]&lt;&gt;"Yes - Inside this BoM",IF(ISNUMBER(HostBuild[RAM 
(GB)]),IF(HostBuild[Existing RAM (GB)]+HostBuild[RAM 
(GB)]&gt;0,IF(HostBuild[Virtual Platform Storage Type]="NAS",110+HostBuild[Existing RAM (GB)]+HostBuild[RAM 
(GB)]*1.75,0),0),0),0)</f>
        <v>0</v>
      </c>
      <c r="BT91" s="111"/>
      <c r="BU91" s="112">
        <f>IF(ISNUMBER(HostBuild[Recommended NAS (GB)]),HostBuild[Recommended NAS (GB)])+HostBuild[Additional NAS (GB)]</f>
        <v>0</v>
      </c>
      <c r="BV91" s="50"/>
      <c r="BW91" s="50"/>
      <c r="BX91" s="133">
        <f>IFERROR((HostBuild[SAN (GB)
End-State
DO NOT USE TO BUILD]+HostBuild[SAN (GB) Shared])*25%,"")</f>
        <v>42.125</v>
      </c>
      <c r="BY91" s="113">
        <f>IFERROR(HostBuild[Archive
Full (GB)]*15%,"")</f>
        <v>6.3187499999999996</v>
      </c>
      <c r="BZ91" s="51"/>
      <c r="CA91" s="51"/>
      <c r="CB91" s="52"/>
      <c r="CC91" s="53"/>
      <c r="CD91" s="52"/>
      <c r="CE91" s="54"/>
      <c r="CF91" s="128"/>
      <c r="CG91" s="114"/>
      <c r="CH91" s="55"/>
      <c r="CI91" s="56"/>
      <c r="CJ91" s="57"/>
      <c r="CK91" s="58"/>
      <c r="CL91" s="59">
        <f>IFERROR(IF(FIND(CL$1,$W91)&gt;0,IF(INDEX([1]!Product_Pricing_Table[#Data],MATCH(CL$1,Products,0),2)="Cores",IF(HostBuild[Use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1" s="59">
        <f>IFERROR(IF(FIND(CM$1,$W91)&gt;0,IF(INDEX([1]!Product_Pricing_Table[#Data],MATCH(CM$1,Products,0),2)="Cores",IF(HostBuild[Use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1" s="59">
        <f>IFERROR(IF(FIND(CN$1,$W91)&gt;0,IF(INDEX([1]!Product_Pricing_Table[#Data],MATCH(CN$1,Products,0),2)="Cores",IF(HostBuild[Use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1" s="59">
        <f>IFERROR(IF(FIND(CO$1,$W91)&gt;0,IF(INDEX([1]!Product_Pricing_Table[#Data],MATCH(CO$1,Products,0),2)="Cores",IF(HostBuild[Use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1" s="59">
        <f>IFERROR(IF(FIND(CP$1,$W91)&gt;0,IF(INDEX([1]!Product_Pricing_Table[#Data],MATCH(CP$1,Products,0),2)="Cores",IF(HostBuild[Use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1" s="59">
        <f>IFERROR(IF(FIND(CQ$1,$W91)&gt;0,IF(INDEX([1]!Product_Pricing_Table[#Data],MATCH(CQ$1,Products,0),2)="Cores",IF(HostBuild[Use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1" s="59">
        <f>IFERROR(IF(FIND(CR$1,$W91)&gt;0,IF(INDEX([1]!Product_Pricing_Table[#Data],MATCH(CR$1,Products,0),2)="Cores",IF(HostBuild[Use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1" s="59">
        <f>IFERROR(IF(FIND(CS$1,$W91)&gt;0,IF(INDEX([1]!Product_Pricing_Table[#Data],MATCH(CS$1,Products,0),2)="Cores",IF(HostBuild[Use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1" s="59">
        <f>IFERROR(IF(FIND(CT$1,$W91)&gt;0,IF(INDEX([1]!Product_Pricing_Table[#Data],MATCH(CT$1,Products,0),2)="Cores",IF(HostBuild[Use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1" s="59">
        <f>IFERROR(IF(FIND(CU$1,$W91)&gt;0,IF(INDEX([1]!Product_Pricing_Table[#Data],MATCH(CU$1,Products,0),2)="Cores",IF(HostBuild[Use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1" s="59">
        <f>IFERROR(IF(FIND(CV$1,$W91)&gt;0,IF(INDEX([1]!Product_Pricing_Table[#Data],MATCH(CV$1,Products,0),2)="Cores",IF(HostBuild[Use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1" s="59">
        <f>IFERROR(IF(FIND(CW$1,$W91)&gt;0,IF(INDEX([1]!Product_Pricing_Table[#Data],MATCH(CW$1,Products,0),2)="Cores",IF(HostBuild[Use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1" s="59">
        <f>IFERROR(IF(FIND(CX$1,$W91)&gt;0,IF(INDEX([1]!Product_Pricing_Table[#Data],MATCH(CX$1,Products,0),2)="Cores",IF(HostBuild[Use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1" s="59">
        <f>IFERROR(IF(FIND(CY$1,$W91)&gt;0,IF(INDEX([1]!Product_Pricing_Table[#Data],MATCH(CY$1,Products,0),2)="Cores",IF(HostBuild[Use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1" s="59">
        <f>IFERROR(IF(FIND(CZ$1,$W91)&gt;0,IF(INDEX([1]!Product_Pricing_Table[#Data],MATCH(CZ$1,Products,0),2)="Cores",IF(HostBuild[Use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1" s="59">
        <f>IFERROR(IF(FIND(DA$1,$W91)&gt;0,IF(INDEX([1]!Product_Pricing_Table[#Data],MATCH(DA$1,Products,0),2)="Cores",IF(HostBuild[Use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1" s="59">
        <f>IFERROR(IF(FIND(DB$1,$W91)&gt;0,IF(INDEX([1]!Product_Pricing_Table[#Data],MATCH(DB$1,Products,0),2)="Cores",IF(HostBuild[Use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1" s="59">
        <f>IFERROR(IF(FIND(DC$1,$W91)&gt;0,IF(INDEX([1]!Product_Pricing_Table[#Data],MATCH(DC$1,Products,0),2)="Cores",IF(HostBuild[Use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1" s="59">
        <f>IFERROR(IF(FIND(DD$1,$W91)&gt;0,IF(INDEX([1]!Product_Pricing_Table[#Data],MATCH(DD$1,Products,0),2)="Cores",IF(HostBuild[Use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1" s="59">
        <f>IFERROR(IF(FIND(DE$1,$W91)&gt;0,IF(INDEX([1]!Product_Pricing_Table[#Data],MATCH(DE$1,Products,0),2)="Cores",IF(HostBuild[Use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1" s="60">
        <f>IFERROR(IF(FIND(DF$1,$W91)&gt;0,IF(INDEX([1]!Product_Pricing_Table[#Data],MATCH(DF$1,Products,0),2)="Cores",IF(HostBuild[Use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1" s="60">
        <f>IFERROR(IF(FIND(DG$1,$W91)&gt;0,IF(INDEX([1]!Product_Pricing_Table[#Data],MATCH(DG$1,Products,0),2)="Cores",IF(HostBuild[Use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1" s="59">
        <f>IFERROR(IF(FIND(DH$1,$W91)&gt;0,IF(INDEX([1]!Product_Pricing_Table[#Data],MATCH(DH$1,Products,0),2)="Cores",IF(HostBuild[Use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1" s="60">
        <f>IFERROR(IF(FIND(DI$1,$W91)&gt;0,IF(INDEX([1]!Product_Pricing_Table[#Data],MATCH(DI$1,Products,0),2)="Cores",IF(HostBuild[Use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1" s="59">
        <f>IFERROR(IF(FIND(DJ$1,$W91)&gt;0,IF(INDEX([1]!Product_Pricing_Table[#Data],MATCH(DJ$1,Products,0),2)="Cores",IF(HostBuild[Use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1" s="59">
        <f>IFERROR(IF(FIND(DK$1,$W91)&gt;0,IF(INDEX([1]!Product_Pricing_Table[#Data],MATCH(DK$1,Products,0),2)="Cores",IF(HostBuild[Use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1" s="59">
        <f>IFERROR(IF(FIND(DL$1,$W91)&gt;0,IF(INDEX([1]!Product_Pricing_Table[#Data],MATCH(DL$1,Products,0),2)="Cores",IF(HostBuild[Use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1" s="59">
        <f>IFERROR(IF(FIND(DM$1,$W91)&gt;0,IF(INDEX([1]!Product_Pricing_Table[#Data],MATCH(DM$1,Products,0),2)="Cores",IF(HostBuild[Use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1" s="59">
        <f>IFERROR(IF(FIND(DN$1,$W91)&gt;0,IF(INDEX([1]!Product_Pricing_Table[#Data],MATCH(DN$1,Products,0),2)="Cores",IF(HostBuild[Use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1" s="59">
        <f>IFERROR(IF(FIND(DO$1,$W91)&gt;0,IF(INDEX([1]!Product_Pricing_Table[#Data],MATCH(DO$1,Products,0),2)="Cores",IF(HostBuild[Use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1" s="59">
        <f>IFERROR(IF(FIND(DP$1,$W91)&gt;0,IF(INDEX([1]!Product_Pricing_Table[#Data],MATCH(DP$1,Products,0),2)="Cores",IF(HostBuild[Use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1" s="59">
        <f>IFERROR(IF(FIND(DQ$1,$W91)&gt;0,IF(INDEX([1]!Product_Pricing_Table[#Data],MATCH(DQ$1,Products,0),2)="Cores",IF(HostBuild[Use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1" s="59">
        <f>IFERROR(IF(FIND(DR$1,$W91)&gt;0,IF(INDEX([1]!Product_Pricing_Table[#Data],MATCH(DR$1,Products,0),2)="Cores",IF(HostBuild[Use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1" s="59">
        <f>IFERROR(IF(FIND(DS$1,$W91)&gt;0,IF(INDEX([1]!Product_Pricing_Table[#Data],MATCH(DS$1,Products,0),2)="Cores",IF(HostBuild[Use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1" s="59">
        <f>IFERROR(IF(FIND(DT$1,$W91)&gt;0,IF(INDEX([1]!Product_Pricing_Table[#Data],MATCH(DT$1,Products,0),2)="Cores",IF(HostBuild[Use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1" s="59">
        <f>IFERROR(IF(FIND(DU$1,$W91)&gt;0,IF(INDEX([1]!Product_Pricing_Table[#Data],MATCH(DU$1,Products,0),2)="Cores",IF(HostBuild[Use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1" s="59">
        <f>IFERROR(IF(FIND(DV$1,$W91)&gt;0,IF(INDEX([1]!Product_Pricing_Table[#Data],MATCH(DV$1,Products,0),2)="Cores",IF(HostBuild[Use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1" s="59">
        <f>IFERROR(IF(FIND(DW$1,$W91)&gt;0,IF(INDEX([1]!Product_Pricing_Table[#Data],MATCH(DW$1,Products,0),2)="Cores",IF(HostBuild[Use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1" s="59">
        <f>IFERROR(IF(FIND(DX$1,$W91)&gt;0,IF(INDEX([1]!Product_Pricing_Table[#Data],MATCH(DX$1,Products,0),2)="Cores",IF(HostBuild[Use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1" s="59">
        <f>IFERROR(IF(FIND(DY$1,$W91)&gt;0,IF(INDEX([1]!Product_Pricing_Table[#Data],MATCH(DY$1,Products,0),2)="Cores",IF(HostBuild[Use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1" s="59">
        <f>IFERROR(IF(FIND(DZ$1,$W91)&gt;0,IF(INDEX([1]!Product_Pricing_Table[#Data],MATCH(DZ$1,Products,0),2)="Cores",IF(HostBuild[Use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1" s="59">
        <f>IFERROR(IF(FIND(EA$1,$W91)&gt;0,IF(INDEX([1]!Product_Pricing_Table[#Data],MATCH(EA$1,Products,0),2)="Cores",IF(HostBuild[Use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1" s="59">
        <f>IFERROR(IF(FIND(EB$1,$W91)&gt;0,IF(INDEX([1]!Product_Pricing_Table[#Data],MATCH(EB$1,Products,0),2)="Cores",IF(HostBuild[Use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1" s="60">
        <f>IFERROR(IF(FIND(EC$1,$W91)&gt;0,IF(INDEX([1]!Product_Pricing_Table[#Data],MATCH(EC$1,Products,0),2)="Cores",IF(HostBuild[Use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1" s="59">
        <f>IFERROR(IF(FIND(ED$1,$W91)&gt;0,IF(INDEX([1]!Product_Pricing_Table[#Data],MATCH(ED$1,Products,0),2)="Cores",IF(HostBuild[Use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1" s="59">
        <f>IFERROR(IF(FIND(EE$1,$W91)&gt;0,IF(INDEX([1]!Product_Pricing_Table[#Data],MATCH(EE$1,Products,0),2)="Cores",IF(HostBuild[Use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1" s="59">
        <f>IFERROR(IF(FIND(EF$1,$W91)&gt;0,IF(INDEX([1]!Product_Pricing_Table[#Data],MATCH(EF$1,Products,0),2)="Cores",IF(HostBuild[Use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1" s="59">
        <f>IFERROR(IF(FIND(EG$1,$W91)&gt;0,IF(INDEX([1]!Product_Pricing_Table[#Data],MATCH(EG$1,Products,0),2)="Cores",IF(HostBuild[Use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1" s="59">
        <f>IFERROR(IF(FIND(EH$1,$W91)&gt;0,IF(INDEX([1]!Product_Pricing_Table[#Data],MATCH(EH$1,Products,0),2)="Cores",IF(HostBuild[Use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1" s="59">
        <f>IFERROR(IF(FIND(EI$1,$W91)&gt;0,IF(INDEX([1]!Product_Pricing_Table[#Data],MATCH(EI$1,Products,0),2)="Cores",IF(HostBuild[Use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1" s="59">
        <f>IFERROR(IF(FIND(EJ$1,$W91)&gt;0,IF(INDEX([1]!Product_Pricing_Table[#Data],MATCH(EJ$1,Products,0),2)="Cores",IF(HostBuild[Use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1" s="60">
        <f>IFERROR(IF(FIND(EK$1,$W91)&gt;0,IF(INDEX([1]!Product_Pricing_Table[#Data],MATCH(EK$1,Products,0),2)="Cores",IF(HostBuild[Use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1" s="61"/>
      <c r="EM91" s="62">
        <v>172.46639999999999</v>
      </c>
      <c r="EN91" s="63">
        <v>30.198399999999999</v>
      </c>
      <c r="EO91"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9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75.825000000000003</v>
      </c>
      <c r="EQ91" s="132">
        <f>(HostBuild[Archive
Full (GB)]+HostBuild[Archive
Incr (GB)])*Storage_DC_Dist_Tape_2014</f>
        <v>16.955312499999998</v>
      </c>
      <c r="ER91" s="132">
        <f>IF(ISNUMBER(HostBuild[Server HW Costs
(Monthly)]),SUM(HostBuild[[#This Row],[Server HW Costs
(Monthly)]:[Tape Costs
(Monthly)]]),0)</f>
        <v>92.780312500000008</v>
      </c>
      <c r="ES91" s="65">
        <f>HostBuild[Software Costs
'[Year 1']
(Monthly)]+HostBuild[Total Hardware Costs
(Monthly)]</f>
        <v>265.2467125</v>
      </c>
      <c r="ET91" s="65">
        <f>IFERROR(IF(FIND("Safenet",HostBuild[Server Model]),Safenet_PSE_PL600_Maint,0),0)+IFERROR(IF(FIND("XI52",HostBuild[Server Model]),IBM_DIA_XI52_Maint,0),0)+HostBuild[Software Costs
'[After Year 1']
(Monthly)]+HostBuild[Total Hardware Costs
(Monthly)]</f>
        <v>122.9787125</v>
      </c>
      <c r="EU91" s="66">
        <f>SUM(HostBuild[[#This Row],[Server Cost Breakdown]:[Network Cost]])</f>
        <v>0</v>
      </c>
      <c r="EV91" s="67">
        <f>IF(HostBuild[Existing Server?]="Yes - Inside this BoM",0,SUMIF(HostBuild[Alias],HostBuild[Alias],HostBuild[CPU])+SUMIF(HostBuild[Alias],HostBuild[Alias],HostBuild[Existing CPUs]))</f>
        <v>0</v>
      </c>
      <c r="EW91" s="67">
        <f>IF(HostBuild[Existing Server?]="Yes - Inside this BoM",0,SUMIF(HostBuild[Alias],HostBuild[Alias],HostBuild[Cores 
(Licensed Units)])+SUMIF(HostBuild[Alias],HostBuild[Alias],HostBuild[Existing Cores]))</f>
        <v>0</v>
      </c>
      <c r="EX91" s="67">
        <f>IF(HostBuild[Existing Server?]="Yes - Inside this BoM",0,SUMIF(HostBuild[Alias],HostBuild[Alias],HostBuild[RAM 
(GB)])+SUMIF(HostBuild[Alias],HostBuild[Alias],HostBuild[Existing RAM (GB)]))</f>
        <v>0</v>
      </c>
      <c r="EY9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1" s="66">
        <f>IF(ISBLANK(HostBuild[Server Model]),0,IF(HostBuild[Server Tier]="VMware",0,VLOOKUP(HostBuild[Server Tier],[1]!ServerTierRates[#Data],2,0))*HostBuild[CPU]*IF(AND(HostBuild[Server Type]="pSeries",HostBuild[Virtual Platform Storage Type]="Cloud-SAN"),0.25,1))</f>
        <v>0</v>
      </c>
      <c r="FD91" s="66">
        <f>0</f>
        <v>0</v>
      </c>
      <c r="FE91" s="66">
        <f>IF(HostBuild[Server Type]="VMware",HostBuild[RAM 
(GB)]*IF(ISERROR(FIND("DevCloud", HostBuild[Server Model])&gt;0),vRAM_per_vCPU_2014_Monthly,vRAM_per_vCPU_2014_Daily*30),0)</f>
        <v>0</v>
      </c>
      <c r="FF9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1" s="69">
        <f>IF(HostBuild[Server Tier]="VMware",0,IF(LEFT(HostBuild[Existing Server?],3)="Yes",0,IF(OR(HostBuild[Server Type]="Sun",HostBuild[Server Type]="pSeries"),Support_Direct_Server_Sun_per_OS_2014,IF(HostBuild[Server Type]="x86",Support_Direct_Server_x86_Wintel_per_OS_2014,0))))</f>
        <v>0</v>
      </c>
      <c r="FI9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2" spans="1:165" hidden="1">
      <c r="A92" s="122" t="s">
        <v>53</v>
      </c>
      <c r="B92" s="36"/>
      <c r="C92" s="36"/>
      <c r="D92" s="36"/>
      <c r="E92" s="37"/>
      <c r="F92" s="37"/>
      <c r="G92" s="103"/>
      <c r="H92" s="103"/>
      <c r="I92" s="38"/>
      <c r="J92" s="37"/>
      <c r="K92" s="37"/>
      <c r="L92" s="37"/>
      <c r="M92" s="103" t="e">
        <f ca="1">IF(rngIsDate(HostBuild[CTO Acceptance]),"Y","N")</f>
        <v>#NAME?</v>
      </c>
      <c r="N92" s="123" t="s">
        <v>3</v>
      </c>
      <c r="O92" s="39"/>
      <c r="P92" s="39"/>
      <c r="Q92" s="123" t="s">
        <v>1</v>
      </c>
      <c r="R92" s="126" t="str">
        <f>IF(NOT(ISBLANK(HostBuild[Env Label])),IFERROR(VLOOKUP(HostBuild[Env Label],[1]!tEnv[#Data],3,FALSE),""),"")</f>
        <v/>
      </c>
      <c r="S92" s="104"/>
      <c r="T92" s="40"/>
      <c r="U92" s="105"/>
      <c r="V92" s="123" t="s">
        <v>97</v>
      </c>
      <c r="W92" s="123" t="s">
        <v>98</v>
      </c>
      <c r="X92" s="123" t="s">
        <v>99</v>
      </c>
      <c r="Y92" s="123" t="s">
        <v>58</v>
      </c>
      <c r="Z92" s="126" t="str">
        <f>IF(NOT(ISBLANK(HostBuild[[#This Row],[Product 
(Acronym)]])),CONCATENATE(HostBuild[[#This Row],[Type]],"-",HostBuild[[#This Row],[Product 
(Acronym)]]),"")</f>
        <v>DB-ESB</v>
      </c>
      <c r="AA92" s="106"/>
      <c r="AB92" s="106" t="s">
        <v>59</v>
      </c>
      <c r="AC92" s="41"/>
      <c r="AD92" s="42"/>
      <c r="AE92" s="42"/>
      <c r="AF92" s="43" t="s">
        <v>60</v>
      </c>
      <c r="AG92" s="124"/>
      <c r="AH92" s="107"/>
      <c r="AI92" s="124" t="s">
        <v>176</v>
      </c>
      <c r="AJ92" s="123">
        <f>IF(COUNTIF(HostBuild[Alias],HostBuild[Alias]),1/COUNTIF(HostBuild[Alias],HostBuild[Alias]),0)</f>
        <v>1</v>
      </c>
      <c r="AK92" s="124"/>
      <c r="AL92" s="124"/>
      <c r="AM92" s="44" t="s">
        <v>101</v>
      </c>
      <c r="AN92" s="45" t="str">
        <f>IF(NOT(ISBLANK(HostBuild[Server Model])),VLOOKUP(HostBuild[Server Model],[1]!ServerModelsTier[#Data],2,FALSE),"")</f>
        <v>IBM P-Series Tier 2</v>
      </c>
      <c r="AO92" s="45" t="str">
        <f>IF(NOT(ISBLANK(HostBuild[Server Model])),VLOOKUP(HostBuild[Server Model],[1]!ServerModelsTier[#Data],5,FALSE),"")</f>
        <v>pSeries</v>
      </c>
      <c r="AP92" s="44"/>
      <c r="AQ92" s="44" t="s">
        <v>102</v>
      </c>
      <c r="AR92" s="47"/>
      <c r="AS92" s="108"/>
      <c r="AT92" s="47"/>
      <c r="AU92" s="109"/>
      <c r="AV92" s="48"/>
      <c r="AW92" s="124"/>
      <c r="AX92" s="124"/>
      <c r="AY92" s="124"/>
      <c r="AZ92" s="49"/>
      <c r="BA92" s="124"/>
      <c r="BB92" s="124"/>
      <c r="BC92" s="42"/>
      <c r="BD92" s="124"/>
      <c r="BE92" s="124"/>
      <c r="BF92" s="124"/>
      <c r="BG92" s="124"/>
      <c r="BH92" s="124"/>
      <c r="BI92" s="124"/>
      <c r="BJ92" s="124"/>
      <c r="BK92"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92" s="127">
        <v>100</v>
      </c>
      <c r="BM92" s="129">
        <f>IF(ISNUMBER(HostBuild[Recommended SAN (GB)]),HostBuild[Recommended SAN (GB)])+IF(HostBuild[Additional SAN (GB)]&gt;0,CEILING(HostBuild[Additional SAN (GB)],LUN),-(CEILING(-HostBuild[Additional SAN (GB)],LUN)))</f>
        <v>101.10000000000001</v>
      </c>
      <c r="BN92" s="128"/>
      <c r="BO92" s="129">
        <f>HostBuild[SAN (GB)
NEEDED TODAY]+CEILING(HostBuild[SAN (GB)
RESERVED
DO NOT USE TO BUILD], LUN)</f>
        <v>101.10000000000001</v>
      </c>
      <c r="BP92" s="130">
        <v>100</v>
      </c>
      <c r="BQ92" s="131"/>
      <c r="BR92" s="125" t="s">
        <v>76</v>
      </c>
      <c r="BS92" s="110">
        <f>IF(HostBuild[Existing Server?]&lt;&gt;"Yes - Inside this BoM",IF(ISNUMBER(HostBuild[RAM 
(GB)]),IF(HostBuild[Existing RAM (GB)]+HostBuild[RAM 
(GB)]&gt;0,IF(HostBuild[Virtual Platform Storage Type]="NAS",110+HostBuild[Existing RAM (GB)]+HostBuild[RAM 
(GB)]*1.75,0),0),0),0)</f>
        <v>0</v>
      </c>
      <c r="BT92" s="111"/>
      <c r="BU92" s="112">
        <f>IF(ISNUMBER(HostBuild[Recommended NAS (GB)]),HostBuild[Recommended NAS (GB)])+HostBuild[Additional NAS (GB)]</f>
        <v>0</v>
      </c>
      <c r="BV92" s="50"/>
      <c r="BW92" s="50"/>
      <c r="BX92" s="133">
        <f>IFERROR((HostBuild[SAN (GB)
End-State
DO NOT USE TO BUILD]+HostBuild[SAN (GB) Shared])*25%,"")</f>
        <v>50.275000000000006</v>
      </c>
      <c r="BY92" s="113">
        <f>IFERROR(HostBuild[Archive
Full (GB)]*15%,"")</f>
        <v>7.5412500000000007</v>
      </c>
      <c r="BZ92" s="51"/>
      <c r="CA92" s="51"/>
      <c r="CB92" s="52"/>
      <c r="CC92" s="53"/>
      <c r="CD92" s="52"/>
      <c r="CE92" s="54"/>
      <c r="CF92" s="128"/>
      <c r="CG92" s="114"/>
      <c r="CH92" s="55"/>
      <c r="CI92" s="56"/>
      <c r="CJ92" s="57"/>
      <c r="CK92" s="58"/>
      <c r="CL92" s="59">
        <f>IFERROR(IF(FIND(CL$1,$W92)&gt;0,IF(INDEX([1]!Product_Pricing_Table[#Data],MATCH(CL$1,Products,0),2)="Cores",IF(HostBuild[Use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2" s="59">
        <f>IFERROR(IF(FIND(CM$1,$W92)&gt;0,IF(INDEX([1]!Product_Pricing_Table[#Data],MATCH(CM$1,Products,0),2)="Cores",IF(HostBuild[Use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2" s="59">
        <f>IFERROR(IF(FIND(CN$1,$W92)&gt;0,IF(INDEX([1]!Product_Pricing_Table[#Data],MATCH(CN$1,Products,0),2)="Cores",IF(HostBuild[Use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2" s="59">
        <f>IFERROR(IF(FIND(CO$1,$W92)&gt;0,IF(INDEX([1]!Product_Pricing_Table[#Data],MATCH(CO$1,Products,0),2)="Cores",IF(HostBuild[Use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2" s="59">
        <f>IFERROR(IF(FIND(CP$1,$W92)&gt;0,IF(INDEX([1]!Product_Pricing_Table[#Data],MATCH(CP$1,Products,0),2)="Cores",IF(HostBuild[Use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2" s="59">
        <f>IFERROR(IF(FIND(CQ$1,$W92)&gt;0,IF(INDEX([1]!Product_Pricing_Table[#Data],MATCH(CQ$1,Products,0),2)="Cores",IF(HostBuild[Use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2" s="59">
        <f>IFERROR(IF(FIND(CR$1,$W92)&gt;0,IF(INDEX([1]!Product_Pricing_Table[#Data],MATCH(CR$1,Products,0),2)="Cores",IF(HostBuild[Use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2" s="59">
        <f>IFERROR(IF(FIND(CS$1,$W92)&gt;0,IF(INDEX([1]!Product_Pricing_Table[#Data],MATCH(CS$1,Products,0),2)="Cores",IF(HostBuild[Use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2" s="59">
        <f>IFERROR(IF(FIND(CT$1,$W92)&gt;0,IF(INDEX([1]!Product_Pricing_Table[#Data],MATCH(CT$1,Products,0),2)="Cores",IF(HostBuild[Use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2" s="59">
        <f>IFERROR(IF(FIND(CU$1,$W92)&gt;0,IF(INDEX([1]!Product_Pricing_Table[#Data],MATCH(CU$1,Products,0),2)="Cores",IF(HostBuild[Use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2" s="59">
        <f>IFERROR(IF(FIND(CV$1,$W92)&gt;0,IF(INDEX([1]!Product_Pricing_Table[#Data],MATCH(CV$1,Products,0),2)="Cores",IF(HostBuild[Use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2" s="59">
        <f>IFERROR(IF(FIND(CW$1,$W92)&gt;0,IF(INDEX([1]!Product_Pricing_Table[#Data],MATCH(CW$1,Products,0),2)="Cores",IF(HostBuild[Use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2" s="59">
        <f>IFERROR(IF(FIND(CX$1,$W92)&gt;0,IF(INDEX([1]!Product_Pricing_Table[#Data],MATCH(CX$1,Products,0),2)="Cores",IF(HostBuild[Use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2" s="59">
        <f>IFERROR(IF(FIND(CY$1,$W92)&gt;0,IF(INDEX([1]!Product_Pricing_Table[#Data],MATCH(CY$1,Products,0),2)="Cores",IF(HostBuild[Use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2" s="59">
        <f>IFERROR(IF(FIND(CZ$1,$W92)&gt;0,IF(INDEX([1]!Product_Pricing_Table[#Data],MATCH(CZ$1,Products,0),2)="Cores",IF(HostBuild[Use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2" s="59">
        <f>IFERROR(IF(FIND(DA$1,$W92)&gt;0,IF(INDEX([1]!Product_Pricing_Table[#Data],MATCH(DA$1,Products,0),2)="Cores",IF(HostBuild[Use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2" s="59">
        <f>IFERROR(IF(FIND(DB$1,$W92)&gt;0,IF(INDEX([1]!Product_Pricing_Table[#Data],MATCH(DB$1,Products,0),2)="Cores",IF(HostBuild[Use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2" s="59">
        <f>IFERROR(IF(FIND(DC$1,$W92)&gt;0,IF(INDEX([1]!Product_Pricing_Table[#Data],MATCH(DC$1,Products,0),2)="Cores",IF(HostBuild[Use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2" s="59">
        <f>IFERROR(IF(FIND(DD$1,$W92)&gt;0,IF(INDEX([1]!Product_Pricing_Table[#Data],MATCH(DD$1,Products,0),2)="Cores",IF(HostBuild[Use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2" s="59">
        <f>IFERROR(IF(FIND(DE$1,$W92)&gt;0,IF(INDEX([1]!Product_Pricing_Table[#Data],MATCH(DE$1,Products,0),2)="Cores",IF(HostBuild[Use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2" s="60">
        <f>IFERROR(IF(FIND(DF$1,$W92)&gt;0,IF(INDEX([1]!Product_Pricing_Table[#Data],MATCH(DF$1,Products,0),2)="Cores",IF(HostBuild[Use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2" s="60">
        <f>IFERROR(IF(FIND(DG$1,$W92)&gt;0,IF(INDEX([1]!Product_Pricing_Table[#Data],MATCH(DG$1,Products,0),2)="Cores",IF(HostBuild[Use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2" s="59">
        <f>IFERROR(IF(FIND(DH$1,$W92)&gt;0,IF(INDEX([1]!Product_Pricing_Table[#Data],MATCH(DH$1,Products,0),2)="Cores",IF(HostBuild[Use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2" s="60">
        <f>IFERROR(IF(FIND(DI$1,$W92)&gt;0,IF(INDEX([1]!Product_Pricing_Table[#Data],MATCH(DI$1,Products,0),2)="Cores",IF(HostBuild[Use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2" s="59">
        <f>IFERROR(IF(FIND(DJ$1,$W92)&gt;0,IF(INDEX([1]!Product_Pricing_Table[#Data],MATCH(DJ$1,Products,0),2)="Cores",IF(HostBuild[Use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2" s="59">
        <f>IFERROR(IF(FIND(DK$1,$W92)&gt;0,IF(INDEX([1]!Product_Pricing_Table[#Data],MATCH(DK$1,Products,0),2)="Cores",IF(HostBuild[Use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2" s="59">
        <f>IFERROR(IF(FIND(DL$1,$W92)&gt;0,IF(INDEX([1]!Product_Pricing_Table[#Data],MATCH(DL$1,Products,0),2)="Cores",IF(HostBuild[Use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2" s="59">
        <f>IFERROR(IF(FIND(DM$1,$W92)&gt;0,IF(INDEX([1]!Product_Pricing_Table[#Data],MATCH(DM$1,Products,0),2)="Cores",IF(HostBuild[Use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2" s="59">
        <f>IFERROR(IF(FIND(DN$1,$W92)&gt;0,IF(INDEX([1]!Product_Pricing_Table[#Data],MATCH(DN$1,Products,0),2)="Cores",IF(HostBuild[Use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2" s="59">
        <f>IFERROR(IF(FIND(DO$1,$W92)&gt;0,IF(INDEX([1]!Product_Pricing_Table[#Data],MATCH(DO$1,Products,0),2)="Cores",IF(HostBuild[Use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2" s="59">
        <f>IFERROR(IF(FIND(DP$1,$W92)&gt;0,IF(INDEX([1]!Product_Pricing_Table[#Data],MATCH(DP$1,Products,0),2)="Cores",IF(HostBuild[Use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2" s="59">
        <f>IFERROR(IF(FIND(DQ$1,$W92)&gt;0,IF(INDEX([1]!Product_Pricing_Table[#Data],MATCH(DQ$1,Products,0),2)="Cores",IF(HostBuild[Use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2" s="59">
        <f>IFERROR(IF(FIND(DR$1,$W92)&gt;0,IF(INDEX([1]!Product_Pricing_Table[#Data],MATCH(DR$1,Products,0),2)="Cores",IF(HostBuild[Use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2" s="59">
        <f>IFERROR(IF(FIND(DS$1,$W92)&gt;0,IF(INDEX([1]!Product_Pricing_Table[#Data],MATCH(DS$1,Products,0),2)="Cores",IF(HostBuild[Use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2" s="59">
        <f>IFERROR(IF(FIND(DT$1,$W92)&gt;0,IF(INDEX([1]!Product_Pricing_Table[#Data],MATCH(DT$1,Products,0),2)="Cores",IF(HostBuild[Use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2" s="59">
        <f>IFERROR(IF(FIND(DU$1,$W92)&gt;0,IF(INDEX([1]!Product_Pricing_Table[#Data],MATCH(DU$1,Products,0),2)="Cores",IF(HostBuild[Use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2" s="59">
        <f>IFERROR(IF(FIND(DV$1,$W92)&gt;0,IF(INDEX([1]!Product_Pricing_Table[#Data],MATCH(DV$1,Products,0),2)="Cores",IF(HostBuild[Use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2" s="59">
        <f>IFERROR(IF(FIND(DW$1,$W92)&gt;0,IF(INDEX([1]!Product_Pricing_Table[#Data],MATCH(DW$1,Products,0),2)="Cores",IF(HostBuild[Use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2" s="59">
        <f>IFERROR(IF(FIND(DX$1,$W92)&gt;0,IF(INDEX([1]!Product_Pricing_Table[#Data],MATCH(DX$1,Products,0),2)="Cores",IF(HostBuild[Use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2" s="59">
        <f>IFERROR(IF(FIND(DY$1,$W92)&gt;0,IF(INDEX([1]!Product_Pricing_Table[#Data],MATCH(DY$1,Products,0),2)="Cores",IF(HostBuild[Use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2" s="59">
        <f>IFERROR(IF(FIND(DZ$1,$W92)&gt;0,IF(INDEX([1]!Product_Pricing_Table[#Data],MATCH(DZ$1,Products,0),2)="Cores",IF(HostBuild[Use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2" s="59">
        <f>IFERROR(IF(FIND(EA$1,$W92)&gt;0,IF(INDEX([1]!Product_Pricing_Table[#Data],MATCH(EA$1,Products,0),2)="Cores",IF(HostBuild[Use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2" s="59">
        <f>IFERROR(IF(FIND(EB$1,$W92)&gt;0,IF(INDEX([1]!Product_Pricing_Table[#Data],MATCH(EB$1,Products,0),2)="Cores",IF(HostBuild[Use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2" s="60">
        <f>IFERROR(IF(FIND(EC$1,$W92)&gt;0,IF(INDEX([1]!Product_Pricing_Table[#Data],MATCH(EC$1,Products,0),2)="Cores",IF(HostBuild[Use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2" s="59">
        <f>IFERROR(IF(FIND(ED$1,$W92)&gt;0,IF(INDEX([1]!Product_Pricing_Table[#Data],MATCH(ED$1,Products,0),2)="Cores",IF(HostBuild[Use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2" s="59">
        <f>IFERROR(IF(FIND(EE$1,$W92)&gt;0,IF(INDEX([1]!Product_Pricing_Table[#Data],MATCH(EE$1,Products,0),2)="Cores",IF(HostBuild[Use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2" s="59">
        <f>IFERROR(IF(FIND(EF$1,$W92)&gt;0,IF(INDEX([1]!Product_Pricing_Table[#Data],MATCH(EF$1,Products,0),2)="Cores",IF(HostBuild[Use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2" s="59">
        <f>IFERROR(IF(FIND(EG$1,$W92)&gt;0,IF(INDEX([1]!Product_Pricing_Table[#Data],MATCH(EG$1,Products,0),2)="Cores",IF(HostBuild[Use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2" s="59">
        <f>IFERROR(IF(FIND(EH$1,$W92)&gt;0,IF(INDEX([1]!Product_Pricing_Table[#Data],MATCH(EH$1,Products,0),2)="Cores",IF(HostBuild[Use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2" s="59">
        <f>IFERROR(IF(FIND(EI$1,$W92)&gt;0,IF(INDEX([1]!Product_Pricing_Table[#Data],MATCH(EI$1,Products,0),2)="Cores",IF(HostBuild[Use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2" s="59">
        <f>IFERROR(IF(FIND(EJ$1,$W92)&gt;0,IF(INDEX([1]!Product_Pricing_Table[#Data],MATCH(EJ$1,Products,0),2)="Cores",IF(HostBuild[Use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2" s="60">
        <f>IFERROR(IF(FIND(EK$1,$W92)&gt;0,IF(INDEX([1]!Product_Pricing_Table[#Data],MATCH(EK$1,Products,0),2)="Cores",IF(HostBuild[Use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2" s="61"/>
      <c r="EM92" s="62"/>
      <c r="EN92" s="63"/>
      <c r="EO92"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9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146.59500000000003</v>
      </c>
      <c r="EQ92" s="132">
        <f>(HostBuild[Archive
Full (GB)]+HostBuild[Archive
Incr (GB)])*Storage_DC_Dist_Tape_2014</f>
        <v>20.235687500000001</v>
      </c>
      <c r="ER92" s="132">
        <f>IF(ISNUMBER(HostBuild[Server HW Costs
(Monthly)]),SUM(HostBuild[[#This Row],[Server HW Costs
(Monthly)]:[Tape Costs
(Monthly)]]),0)</f>
        <v>166.83068750000004</v>
      </c>
      <c r="ES92" s="65">
        <f>HostBuild[Software Costs
'[Year 1']
(Monthly)]+HostBuild[Total Hardware Costs
(Monthly)]</f>
        <v>166.83068750000004</v>
      </c>
      <c r="ET92" s="65">
        <f>IFERROR(IF(FIND("Safenet",HostBuild[Server Model]),Safenet_PSE_PL600_Maint,0),0)+IFERROR(IF(FIND("XI52",HostBuild[Server Model]),IBM_DIA_XI52_Maint,0),0)+HostBuild[Software Costs
'[After Year 1']
(Monthly)]+HostBuild[Total Hardware Costs
(Monthly)]</f>
        <v>166.83068750000004</v>
      </c>
      <c r="EU92" s="66">
        <f>SUM(HostBuild[[#This Row],[Server Cost Breakdown]:[Network Cost]])</f>
        <v>0</v>
      </c>
      <c r="EV92" s="67">
        <f>IF(HostBuild[Existing Server?]="Yes - Inside this BoM",0,SUMIF(HostBuild[Alias],HostBuild[Alias],HostBuild[CPU])+SUMIF(HostBuild[Alias],HostBuild[Alias],HostBuild[Existing CPUs]))</f>
        <v>0</v>
      </c>
      <c r="EW92" s="67">
        <f>IF(HostBuild[Existing Server?]="Yes - Inside this BoM",0,SUMIF(HostBuild[Alias],HostBuild[Alias],HostBuild[Cores 
(Licensed Units)])+SUMIF(HostBuild[Alias],HostBuild[Alias],HostBuild[Existing Cores]))</f>
        <v>0</v>
      </c>
      <c r="EX92" s="67">
        <f>IF(HostBuild[Existing Server?]="Yes - Inside this BoM",0,SUMIF(HostBuild[Alias],HostBuild[Alias],HostBuild[RAM 
(GB)])+SUMIF(HostBuild[Alias],HostBuild[Alias],HostBuild[Existing RAM (GB)]))</f>
        <v>0</v>
      </c>
      <c r="EY9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2" s="66">
        <f>IF(ISBLANK(HostBuild[Server Model]),0,IF(HostBuild[Server Tier]="VMware",0,VLOOKUP(HostBuild[Server Tier],[1]!ServerTierRates[#Data],2,0))*HostBuild[CPU]*IF(AND(HostBuild[Server Type]="pSeries",HostBuild[Virtual Platform Storage Type]="Cloud-SAN"),0.25,1))</f>
        <v>0</v>
      </c>
      <c r="FD92" s="66">
        <f>0</f>
        <v>0</v>
      </c>
      <c r="FE92" s="66">
        <f>IF(HostBuild[Server Type]="VMware",HostBuild[RAM 
(GB)]*IF(ISERROR(FIND("DevCloud", HostBuild[Server Model])&gt;0),vRAM_per_vCPU_2014_Monthly,vRAM_per_vCPU_2014_Daily*30),0)</f>
        <v>0</v>
      </c>
      <c r="FF9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2" s="69">
        <f>IF(HostBuild[Server Tier]="VMware",0,IF(LEFT(HostBuild[Existing Server?],3)="Yes",0,IF(OR(HostBuild[Server Type]="Sun",HostBuild[Server Type]="pSeries"),Support_Direct_Server_Sun_per_OS_2014,IF(HostBuild[Server Type]="x86",Support_Direct_Server_x86_Wintel_per_OS_2014,0))))</f>
        <v>0</v>
      </c>
      <c r="FI9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3" spans="1:165" hidden="1">
      <c r="A93" s="122" t="s">
        <v>53</v>
      </c>
      <c r="B93" s="36"/>
      <c r="C93" s="36"/>
      <c r="D93" s="36"/>
      <c r="E93" s="37"/>
      <c r="F93" s="37"/>
      <c r="G93" s="103"/>
      <c r="H93" s="103"/>
      <c r="I93" s="38"/>
      <c r="J93" s="37"/>
      <c r="K93" s="37"/>
      <c r="L93" s="37"/>
      <c r="M93" s="103" t="e">
        <f ca="1">IF(rngIsDate(HostBuild[CTO Acceptance]),"Y","N")</f>
        <v>#NAME?</v>
      </c>
      <c r="N93" s="123" t="s">
        <v>3</v>
      </c>
      <c r="O93" s="39"/>
      <c r="P93" s="39"/>
      <c r="Q93" s="123" t="s">
        <v>1</v>
      </c>
      <c r="R93" s="126" t="str">
        <f>IF(NOT(ISBLANK(HostBuild[Env Label])),IFERROR(VLOOKUP(HostBuild[Env Label],[1]!tEnv[#Data],3,FALSE),""),"")</f>
        <v/>
      </c>
      <c r="S93" s="104"/>
      <c r="T93" s="40"/>
      <c r="U93" s="105"/>
      <c r="V93" s="123" t="s">
        <v>97</v>
      </c>
      <c r="W93" s="123" t="s">
        <v>98</v>
      </c>
      <c r="X93" s="123" t="s">
        <v>99</v>
      </c>
      <c r="Y93" s="123" t="s">
        <v>58</v>
      </c>
      <c r="Z93" s="126" t="str">
        <f>IF(NOT(ISBLANK(HostBuild[[#This Row],[Product 
(Acronym)]])),CONCATENATE(HostBuild[[#This Row],[Type]],"-",HostBuild[[#This Row],[Product 
(Acronym)]]),"")</f>
        <v>DB-ESB</v>
      </c>
      <c r="AA93" s="106"/>
      <c r="AB93" s="106" t="s">
        <v>59</v>
      </c>
      <c r="AC93" s="41"/>
      <c r="AD93" s="42"/>
      <c r="AE93" s="42"/>
      <c r="AF93" s="43" t="s">
        <v>60</v>
      </c>
      <c r="AG93" s="124"/>
      <c r="AH93" s="107"/>
      <c r="AI93" s="124" t="s">
        <v>177</v>
      </c>
      <c r="AJ93" s="123">
        <f>IF(COUNTIF(HostBuild[Alias],HostBuild[Alias]),1/COUNTIF(HostBuild[Alias],HostBuild[Alias]),0)</f>
        <v>1</v>
      </c>
      <c r="AK93" s="124"/>
      <c r="AL93" s="124"/>
      <c r="AM93" s="44" t="s">
        <v>101</v>
      </c>
      <c r="AN93" s="45" t="str">
        <f>IF(NOT(ISBLANK(HostBuild[Server Model])),VLOOKUP(HostBuild[Server Model],[1]!ServerModelsTier[#Data],2,FALSE),"")</f>
        <v>IBM P-Series Tier 2</v>
      </c>
      <c r="AO93" s="45" t="str">
        <f>IF(NOT(ISBLANK(HostBuild[Server Model])),VLOOKUP(HostBuild[Server Model],[1]!ServerModelsTier[#Data],5,FALSE),"")</f>
        <v>pSeries</v>
      </c>
      <c r="AP93" s="44"/>
      <c r="AQ93" s="44" t="s">
        <v>102</v>
      </c>
      <c r="AR93" s="47"/>
      <c r="AS93" s="108"/>
      <c r="AT93" s="47"/>
      <c r="AU93" s="109"/>
      <c r="AV93" s="48"/>
      <c r="AW93" s="124"/>
      <c r="AX93" s="124"/>
      <c r="AY93" s="124"/>
      <c r="AZ93" s="49"/>
      <c r="BA93" s="124"/>
      <c r="BB93" s="124"/>
      <c r="BC93" s="42"/>
      <c r="BD93" s="124"/>
      <c r="BE93" s="124"/>
      <c r="BF93" s="124"/>
      <c r="BG93" s="124"/>
      <c r="BH93" s="124"/>
      <c r="BI93" s="124"/>
      <c r="BJ93" s="124"/>
      <c r="BK93"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93" s="127"/>
      <c r="BM93" s="129">
        <f>IF(ISNUMBER(HostBuild[Recommended SAN (GB)]),HostBuild[Recommended SAN (GB)])+IF(HostBuild[Additional SAN (GB)]&gt;0,CEILING(HostBuild[Additional SAN (GB)],LUN),-(CEILING(-HostBuild[Additional SAN (GB)],LUN)))</f>
        <v>0</v>
      </c>
      <c r="BN93" s="128"/>
      <c r="BO93" s="129">
        <f>HostBuild[SAN (GB)
NEEDED TODAY]+CEILING(HostBuild[SAN (GB)
RESERVED
DO NOT USE TO BUILD], LUN)</f>
        <v>0</v>
      </c>
      <c r="BP93" s="130"/>
      <c r="BQ93" s="131"/>
      <c r="BR93" s="125" t="s">
        <v>76</v>
      </c>
      <c r="BS93" s="110">
        <f>IF(HostBuild[Existing Server?]&lt;&gt;"Yes - Inside this BoM",IF(ISNUMBER(HostBuild[RAM 
(GB)]),IF(HostBuild[Existing RAM (GB)]+HostBuild[RAM 
(GB)]&gt;0,IF(HostBuild[Virtual Platform Storage Type]="NAS",110+HostBuild[Existing RAM (GB)]+HostBuild[RAM 
(GB)]*1.75,0),0),0),0)</f>
        <v>0</v>
      </c>
      <c r="BT93" s="111"/>
      <c r="BU93" s="112">
        <f>IF(ISNUMBER(HostBuild[Recommended NAS (GB)]),HostBuild[Recommended NAS (GB)])+HostBuild[Additional NAS (GB)]</f>
        <v>0</v>
      </c>
      <c r="BV93" s="50"/>
      <c r="BW93" s="50"/>
      <c r="BX93" s="133">
        <f>IFERROR((HostBuild[SAN (GB)
End-State
DO NOT USE TO BUILD]+HostBuild[SAN (GB) Shared])*25%,"")</f>
        <v>0</v>
      </c>
      <c r="BY93" s="113">
        <f>IFERROR(HostBuild[Archive
Full (GB)]*15%,"")</f>
        <v>0</v>
      </c>
      <c r="BZ93" s="51"/>
      <c r="CA93" s="51"/>
      <c r="CB93" s="52"/>
      <c r="CC93" s="53"/>
      <c r="CD93" s="52"/>
      <c r="CE93" s="54"/>
      <c r="CF93" s="128"/>
      <c r="CG93" s="114"/>
      <c r="CH93" s="55"/>
      <c r="CI93" s="56"/>
      <c r="CJ93" s="57"/>
      <c r="CK93" s="58"/>
      <c r="CL93" s="59">
        <f>IFERROR(IF(FIND(CL$1,$W93)&gt;0,IF(INDEX([1]!Product_Pricing_Table[#Data],MATCH(CL$1,Products,0),2)="Cores",IF(HostBuild[Use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3" s="59">
        <f>IFERROR(IF(FIND(CM$1,$W93)&gt;0,IF(INDEX([1]!Product_Pricing_Table[#Data],MATCH(CM$1,Products,0),2)="Cores",IF(HostBuild[Use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3" s="59">
        <f>IFERROR(IF(FIND(CN$1,$W93)&gt;0,IF(INDEX([1]!Product_Pricing_Table[#Data],MATCH(CN$1,Products,0),2)="Cores",IF(HostBuild[Use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3" s="59">
        <f>IFERROR(IF(FIND(CO$1,$W93)&gt;0,IF(INDEX([1]!Product_Pricing_Table[#Data],MATCH(CO$1,Products,0),2)="Cores",IF(HostBuild[Use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3" s="59">
        <f>IFERROR(IF(FIND(CP$1,$W93)&gt;0,IF(INDEX([1]!Product_Pricing_Table[#Data],MATCH(CP$1,Products,0),2)="Cores",IF(HostBuild[Use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3" s="59">
        <f>IFERROR(IF(FIND(CQ$1,$W93)&gt;0,IF(INDEX([1]!Product_Pricing_Table[#Data],MATCH(CQ$1,Products,0),2)="Cores",IF(HostBuild[Use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3" s="59">
        <f>IFERROR(IF(FIND(CR$1,$W93)&gt;0,IF(INDEX([1]!Product_Pricing_Table[#Data],MATCH(CR$1,Products,0),2)="Cores",IF(HostBuild[Use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3" s="59">
        <f>IFERROR(IF(FIND(CS$1,$W93)&gt;0,IF(INDEX([1]!Product_Pricing_Table[#Data],MATCH(CS$1,Products,0),2)="Cores",IF(HostBuild[Use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3" s="59">
        <f>IFERROR(IF(FIND(CT$1,$W93)&gt;0,IF(INDEX([1]!Product_Pricing_Table[#Data],MATCH(CT$1,Products,0),2)="Cores",IF(HostBuild[Use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3" s="59">
        <f>IFERROR(IF(FIND(CU$1,$W93)&gt;0,IF(INDEX([1]!Product_Pricing_Table[#Data],MATCH(CU$1,Products,0),2)="Cores",IF(HostBuild[Use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3" s="59">
        <f>IFERROR(IF(FIND(CV$1,$W93)&gt;0,IF(INDEX([1]!Product_Pricing_Table[#Data],MATCH(CV$1,Products,0),2)="Cores",IF(HostBuild[Use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3" s="59">
        <f>IFERROR(IF(FIND(CW$1,$W93)&gt;0,IF(INDEX([1]!Product_Pricing_Table[#Data],MATCH(CW$1,Products,0),2)="Cores",IF(HostBuild[Use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3" s="59">
        <f>IFERROR(IF(FIND(CX$1,$W93)&gt;0,IF(INDEX([1]!Product_Pricing_Table[#Data],MATCH(CX$1,Products,0),2)="Cores",IF(HostBuild[Use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3" s="59">
        <f>IFERROR(IF(FIND(CY$1,$W93)&gt;0,IF(INDEX([1]!Product_Pricing_Table[#Data],MATCH(CY$1,Products,0),2)="Cores",IF(HostBuild[Use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3" s="59">
        <f>IFERROR(IF(FIND(CZ$1,$W93)&gt;0,IF(INDEX([1]!Product_Pricing_Table[#Data],MATCH(CZ$1,Products,0),2)="Cores",IF(HostBuild[Use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3" s="59">
        <f>IFERROR(IF(FIND(DA$1,$W93)&gt;0,IF(INDEX([1]!Product_Pricing_Table[#Data],MATCH(DA$1,Products,0),2)="Cores",IF(HostBuild[Use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3" s="59">
        <f>IFERROR(IF(FIND(DB$1,$W93)&gt;0,IF(INDEX([1]!Product_Pricing_Table[#Data],MATCH(DB$1,Products,0),2)="Cores",IF(HostBuild[Use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3" s="59">
        <f>IFERROR(IF(FIND(DC$1,$W93)&gt;0,IF(INDEX([1]!Product_Pricing_Table[#Data],MATCH(DC$1,Products,0),2)="Cores",IF(HostBuild[Use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3" s="59">
        <f>IFERROR(IF(FIND(DD$1,$W93)&gt;0,IF(INDEX([1]!Product_Pricing_Table[#Data],MATCH(DD$1,Products,0),2)="Cores",IF(HostBuild[Use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3" s="59">
        <f>IFERROR(IF(FIND(DE$1,$W93)&gt;0,IF(INDEX([1]!Product_Pricing_Table[#Data],MATCH(DE$1,Products,0),2)="Cores",IF(HostBuild[Use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3" s="60">
        <f>IFERROR(IF(FIND(DF$1,$W93)&gt;0,IF(INDEX([1]!Product_Pricing_Table[#Data],MATCH(DF$1,Products,0),2)="Cores",IF(HostBuild[Use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3" s="60">
        <f>IFERROR(IF(FIND(DG$1,$W93)&gt;0,IF(INDEX([1]!Product_Pricing_Table[#Data],MATCH(DG$1,Products,0),2)="Cores",IF(HostBuild[Use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3" s="59">
        <f>IFERROR(IF(FIND(DH$1,$W93)&gt;0,IF(INDEX([1]!Product_Pricing_Table[#Data],MATCH(DH$1,Products,0),2)="Cores",IF(HostBuild[Use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3" s="60">
        <f>IFERROR(IF(FIND(DI$1,$W93)&gt;0,IF(INDEX([1]!Product_Pricing_Table[#Data],MATCH(DI$1,Products,0),2)="Cores",IF(HostBuild[Use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3" s="59">
        <f>IFERROR(IF(FIND(DJ$1,$W93)&gt;0,IF(INDEX([1]!Product_Pricing_Table[#Data],MATCH(DJ$1,Products,0),2)="Cores",IF(HostBuild[Use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3" s="59">
        <f>IFERROR(IF(FIND(DK$1,$W93)&gt;0,IF(INDEX([1]!Product_Pricing_Table[#Data],MATCH(DK$1,Products,0),2)="Cores",IF(HostBuild[Use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3" s="59">
        <f>IFERROR(IF(FIND(DL$1,$W93)&gt;0,IF(INDEX([1]!Product_Pricing_Table[#Data],MATCH(DL$1,Products,0),2)="Cores",IF(HostBuild[Use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3" s="59">
        <f>IFERROR(IF(FIND(DM$1,$W93)&gt;0,IF(INDEX([1]!Product_Pricing_Table[#Data],MATCH(DM$1,Products,0),2)="Cores",IF(HostBuild[Use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3" s="59">
        <f>IFERROR(IF(FIND(DN$1,$W93)&gt;0,IF(INDEX([1]!Product_Pricing_Table[#Data],MATCH(DN$1,Products,0),2)="Cores",IF(HostBuild[Use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3" s="59">
        <f>IFERROR(IF(FIND(DO$1,$W93)&gt;0,IF(INDEX([1]!Product_Pricing_Table[#Data],MATCH(DO$1,Products,0),2)="Cores",IF(HostBuild[Use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3" s="59">
        <f>IFERROR(IF(FIND(DP$1,$W93)&gt;0,IF(INDEX([1]!Product_Pricing_Table[#Data],MATCH(DP$1,Products,0),2)="Cores",IF(HostBuild[Use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3" s="59">
        <f>IFERROR(IF(FIND(DQ$1,$W93)&gt;0,IF(INDEX([1]!Product_Pricing_Table[#Data],MATCH(DQ$1,Products,0),2)="Cores",IF(HostBuild[Use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3" s="59">
        <f>IFERROR(IF(FIND(DR$1,$W93)&gt;0,IF(INDEX([1]!Product_Pricing_Table[#Data],MATCH(DR$1,Products,0),2)="Cores",IF(HostBuild[Use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3" s="59">
        <f>IFERROR(IF(FIND(DS$1,$W93)&gt;0,IF(INDEX([1]!Product_Pricing_Table[#Data],MATCH(DS$1,Products,0),2)="Cores",IF(HostBuild[Use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3" s="59">
        <f>IFERROR(IF(FIND(DT$1,$W93)&gt;0,IF(INDEX([1]!Product_Pricing_Table[#Data],MATCH(DT$1,Products,0),2)="Cores",IF(HostBuild[Use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3" s="59">
        <f>IFERROR(IF(FIND(DU$1,$W93)&gt;0,IF(INDEX([1]!Product_Pricing_Table[#Data],MATCH(DU$1,Products,0),2)="Cores",IF(HostBuild[Use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3" s="59">
        <f>IFERROR(IF(FIND(DV$1,$W93)&gt;0,IF(INDEX([1]!Product_Pricing_Table[#Data],MATCH(DV$1,Products,0),2)="Cores",IF(HostBuild[Use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3" s="59">
        <f>IFERROR(IF(FIND(DW$1,$W93)&gt;0,IF(INDEX([1]!Product_Pricing_Table[#Data],MATCH(DW$1,Products,0),2)="Cores",IF(HostBuild[Use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3" s="59">
        <f>IFERROR(IF(FIND(DX$1,$W93)&gt;0,IF(INDEX([1]!Product_Pricing_Table[#Data],MATCH(DX$1,Products,0),2)="Cores",IF(HostBuild[Use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3" s="59">
        <f>IFERROR(IF(FIND(DY$1,$W93)&gt;0,IF(INDEX([1]!Product_Pricing_Table[#Data],MATCH(DY$1,Products,0),2)="Cores",IF(HostBuild[Use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3" s="59">
        <f>IFERROR(IF(FIND(DZ$1,$W93)&gt;0,IF(INDEX([1]!Product_Pricing_Table[#Data],MATCH(DZ$1,Products,0),2)="Cores",IF(HostBuild[Use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3" s="59">
        <f>IFERROR(IF(FIND(EA$1,$W93)&gt;0,IF(INDEX([1]!Product_Pricing_Table[#Data],MATCH(EA$1,Products,0),2)="Cores",IF(HostBuild[Use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3" s="59">
        <f>IFERROR(IF(FIND(EB$1,$W93)&gt;0,IF(INDEX([1]!Product_Pricing_Table[#Data],MATCH(EB$1,Products,0),2)="Cores",IF(HostBuild[Use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3" s="60">
        <f>IFERROR(IF(FIND(EC$1,$W93)&gt;0,IF(INDEX([1]!Product_Pricing_Table[#Data],MATCH(EC$1,Products,0),2)="Cores",IF(HostBuild[Use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3" s="59">
        <f>IFERROR(IF(FIND(ED$1,$W93)&gt;0,IF(INDEX([1]!Product_Pricing_Table[#Data],MATCH(ED$1,Products,0),2)="Cores",IF(HostBuild[Use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3" s="59">
        <f>IFERROR(IF(FIND(EE$1,$W93)&gt;0,IF(INDEX([1]!Product_Pricing_Table[#Data],MATCH(EE$1,Products,0),2)="Cores",IF(HostBuild[Use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3" s="59">
        <f>IFERROR(IF(FIND(EF$1,$W93)&gt;0,IF(INDEX([1]!Product_Pricing_Table[#Data],MATCH(EF$1,Products,0),2)="Cores",IF(HostBuild[Use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3" s="59">
        <f>IFERROR(IF(FIND(EG$1,$W93)&gt;0,IF(INDEX([1]!Product_Pricing_Table[#Data],MATCH(EG$1,Products,0),2)="Cores",IF(HostBuild[Use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3" s="59">
        <f>IFERROR(IF(FIND(EH$1,$W93)&gt;0,IF(INDEX([1]!Product_Pricing_Table[#Data],MATCH(EH$1,Products,0),2)="Cores",IF(HostBuild[Use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3" s="59">
        <f>IFERROR(IF(FIND(EI$1,$W93)&gt;0,IF(INDEX([1]!Product_Pricing_Table[#Data],MATCH(EI$1,Products,0),2)="Cores",IF(HostBuild[Use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3" s="59">
        <f>IFERROR(IF(FIND(EJ$1,$W93)&gt;0,IF(INDEX([1]!Product_Pricing_Table[#Data],MATCH(EJ$1,Products,0),2)="Cores",IF(HostBuild[Use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3" s="60">
        <f>IFERROR(IF(FIND(EK$1,$W93)&gt;0,IF(INDEX([1]!Product_Pricing_Table[#Data],MATCH(EK$1,Products,0),2)="Cores",IF(HostBuild[Use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3" s="61"/>
      <c r="EM93" s="62"/>
      <c r="EN93" s="63"/>
      <c r="EO93"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9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93" s="132">
        <f>(HostBuild[Archive
Full (GB)]+HostBuild[Archive
Incr (GB)])*Storage_DC_Dist_Tape_2014</f>
        <v>0</v>
      </c>
      <c r="ER93" s="132">
        <f>IF(ISNUMBER(HostBuild[Server HW Costs
(Monthly)]),SUM(HostBuild[[#This Row],[Server HW Costs
(Monthly)]:[Tape Costs
(Monthly)]]),0)</f>
        <v>0</v>
      </c>
      <c r="ES93" s="65">
        <f>HostBuild[Software Costs
'[Year 1']
(Monthly)]+HostBuild[Total Hardware Costs
(Monthly)]</f>
        <v>0</v>
      </c>
      <c r="ET93" s="65">
        <f>IFERROR(IF(FIND("Safenet",HostBuild[Server Model]),Safenet_PSE_PL600_Maint,0),0)+IFERROR(IF(FIND("XI52",HostBuild[Server Model]),IBM_DIA_XI52_Maint,0),0)+HostBuild[Software Costs
'[After Year 1']
(Monthly)]+HostBuild[Total Hardware Costs
(Monthly)]</f>
        <v>0</v>
      </c>
      <c r="EU93" s="66">
        <f>SUM(HostBuild[[#This Row],[Server Cost Breakdown]:[Network Cost]])</f>
        <v>0</v>
      </c>
      <c r="EV93" s="67">
        <f>IF(HostBuild[Existing Server?]="Yes - Inside this BoM",0,SUMIF(HostBuild[Alias],HostBuild[Alias],HostBuild[CPU])+SUMIF(HostBuild[Alias],HostBuild[Alias],HostBuild[Existing CPUs]))</f>
        <v>0</v>
      </c>
      <c r="EW93" s="67">
        <f>IF(HostBuild[Existing Server?]="Yes - Inside this BoM",0,SUMIF(HostBuild[Alias],HostBuild[Alias],HostBuild[Cores 
(Licensed Units)])+SUMIF(HostBuild[Alias],HostBuild[Alias],HostBuild[Existing Cores]))</f>
        <v>0</v>
      </c>
      <c r="EX93" s="67">
        <f>IF(HostBuild[Existing Server?]="Yes - Inside this BoM",0,SUMIF(HostBuild[Alias],HostBuild[Alias],HostBuild[RAM 
(GB)])+SUMIF(HostBuild[Alias],HostBuild[Alias],HostBuild[Existing RAM (GB)]))</f>
        <v>0</v>
      </c>
      <c r="EY9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3" s="66">
        <f>IF(ISBLANK(HostBuild[Server Model]),0,IF(HostBuild[Server Tier]="VMware",0,VLOOKUP(HostBuild[Server Tier],[1]!ServerTierRates[#Data],2,0))*HostBuild[CPU]*IF(AND(HostBuild[Server Type]="pSeries",HostBuild[Virtual Platform Storage Type]="Cloud-SAN"),0.25,1))</f>
        <v>0</v>
      </c>
      <c r="FD93" s="66">
        <f>0</f>
        <v>0</v>
      </c>
      <c r="FE93" s="66">
        <f>IF(HostBuild[Server Type]="VMware",HostBuild[RAM 
(GB)]*IF(ISERROR(FIND("DevCloud", HostBuild[Server Model])&gt;0),vRAM_per_vCPU_2014_Monthly,vRAM_per_vCPU_2014_Daily*30),0)</f>
        <v>0</v>
      </c>
      <c r="FF9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3" s="69">
        <f>IF(HostBuild[Server Tier]="VMware",0,IF(LEFT(HostBuild[Existing Server?],3)="Yes",0,IF(OR(HostBuild[Server Type]="Sun",HostBuild[Server Type]="pSeries"),Support_Direct_Server_Sun_per_OS_2014,IF(HostBuild[Server Type]="x86",Support_Direct_Server_x86_Wintel_per_OS_2014,0))))</f>
        <v>0</v>
      </c>
      <c r="FI9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4" spans="1:165" hidden="1">
      <c r="A94" s="122" t="s">
        <v>53</v>
      </c>
      <c r="B94" s="36"/>
      <c r="C94" s="36"/>
      <c r="D94" s="36"/>
      <c r="E94" s="37"/>
      <c r="F94" s="37"/>
      <c r="G94" s="103"/>
      <c r="H94" s="103"/>
      <c r="I94" s="38"/>
      <c r="J94" s="37"/>
      <c r="K94" s="37"/>
      <c r="L94" s="37"/>
      <c r="M94" s="103" t="e">
        <f ca="1">IF(rngIsDate(HostBuild[CTO Acceptance]),"Y","N")</f>
        <v>#NAME?</v>
      </c>
      <c r="N94" s="123" t="s">
        <v>3</v>
      </c>
      <c r="O94" s="39"/>
      <c r="P94" s="39"/>
      <c r="Q94" s="123" t="s">
        <v>1</v>
      </c>
      <c r="R94" s="126" t="str">
        <f>IF(NOT(ISBLANK(HostBuild[Env Label])),IFERROR(VLOOKUP(HostBuild[Env Label],[1]!tEnv[#Data],3,FALSE),""),"")</f>
        <v/>
      </c>
      <c r="S94" s="104"/>
      <c r="T94" s="40"/>
      <c r="U94" s="105"/>
      <c r="V94" s="123" t="s">
        <v>105</v>
      </c>
      <c r="W94" s="123" t="s">
        <v>98</v>
      </c>
      <c r="X94" s="123" t="s">
        <v>99</v>
      </c>
      <c r="Y94" s="123" t="s">
        <v>58</v>
      </c>
      <c r="Z94" s="126" t="str">
        <f>IF(NOT(ISBLANK(HostBuild[[#This Row],[Product 
(Acronym)]])),CONCATENATE(HostBuild[[#This Row],[Type]],"-",HostBuild[[#This Row],[Product 
(Acronym)]]),"")</f>
        <v>DB-ESB</v>
      </c>
      <c r="AA94" s="106"/>
      <c r="AB94" s="106" t="s">
        <v>59</v>
      </c>
      <c r="AC94" s="41"/>
      <c r="AD94" s="42"/>
      <c r="AE94" s="42"/>
      <c r="AF94" s="43" t="s">
        <v>60</v>
      </c>
      <c r="AG94" s="124"/>
      <c r="AH94" s="107"/>
      <c r="AI94" s="124" t="s">
        <v>178</v>
      </c>
      <c r="AJ94" s="123">
        <f>IF(COUNTIF(HostBuild[Alias],HostBuild[Alias]),1/COUNTIF(HostBuild[Alias],HostBuild[Alias]),0)</f>
        <v>1</v>
      </c>
      <c r="AK94" s="124"/>
      <c r="AL94" s="124"/>
      <c r="AM94" s="44" t="s">
        <v>101</v>
      </c>
      <c r="AN94" s="45" t="str">
        <f>IF(NOT(ISBLANK(HostBuild[Server Model])),VLOOKUP(HostBuild[Server Model],[1]!ServerModelsTier[#Data],2,FALSE),"")</f>
        <v>IBM P-Series Tier 2</v>
      </c>
      <c r="AO94" s="45" t="str">
        <f>IF(NOT(ISBLANK(HostBuild[Server Model])),VLOOKUP(HostBuild[Server Model],[1]!ServerModelsTier[#Data],5,FALSE),"")</f>
        <v>pSeries</v>
      </c>
      <c r="AP94" s="44"/>
      <c r="AQ94" s="44" t="s">
        <v>102</v>
      </c>
      <c r="AR94" s="47"/>
      <c r="AS94" s="108"/>
      <c r="AT94" s="47"/>
      <c r="AU94" s="109"/>
      <c r="AV94" s="48"/>
      <c r="AW94" s="124"/>
      <c r="AX94" s="124"/>
      <c r="AY94" s="124"/>
      <c r="AZ94" s="49"/>
      <c r="BA94" s="124"/>
      <c r="BB94" s="124"/>
      <c r="BC94" s="42"/>
      <c r="BD94" s="124"/>
      <c r="BE94" s="124"/>
      <c r="BF94" s="124"/>
      <c r="BG94" s="124"/>
      <c r="BH94" s="124"/>
      <c r="BI94" s="124"/>
      <c r="BJ94" s="124"/>
      <c r="BK94"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94" s="127">
        <v>300</v>
      </c>
      <c r="BM94" s="129">
        <f>IF(ISNUMBER(HostBuild[Recommended SAN (GB)]),HostBuild[Recommended SAN (GB)])+IF(HostBuild[Additional SAN (GB)]&gt;0,CEILING(HostBuild[Additional SAN (GB)],LUN),-(CEILING(-HostBuild[Additional SAN (GB)],LUN)))</f>
        <v>303.3</v>
      </c>
      <c r="BN94" s="128"/>
      <c r="BO94" s="129">
        <f>HostBuild[SAN (GB)
NEEDED TODAY]+CEILING(HostBuild[SAN (GB)
RESERVED
DO NOT USE TO BUILD], LUN)</f>
        <v>303.3</v>
      </c>
      <c r="BP94" s="130"/>
      <c r="BQ94" s="131"/>
      <c r="BR94" s="125" t="s">
        <v>76</v>
      </c>
      <c r="BS94" s="110">
        <f>IF(HostBuild[Existing Server?]&lt;&gt;"Yes - Inside this BoM",IF(ISNUMBER(HostBuild[RAM 
(GB)]),IF(HostBuild[Existing RAM (GB)]+HostBuild[RAM 
(GB)]&gt;0,IF(HostBuild[Virtual Platform Storage Type]="NAS",110+HostBuild[Existing RAM (GB)]+HostBuild[RAM 
(GB)]*1.75,0),0),0),0)</f>
        <v>0</v>
      </c>
      <c r="BT94" s="111"/>
      <c r="BU94" s="112">
        <f>IF(ISNUMBER(HostBuild[Recommended NAS (GB)]),HostBuild[Recommended NAS (GB)])+HostBuild[Additional NAS (GB)]</f>
        <v>0</v>
      </c>
      <c r="BV94" s="50"/>
      <c r="BW94" s="50"/>
      <c r="BX94" s="133">
        <f>IFERROR((HostBuild[SAN (GB)
End-State
DO NOT USE TO BUILD]+HostBuild[SAN (GB) Shared])*25%,"")</f>
        <v>75.825000000000003</v>
      </c>
      <c r="BY94" s="113">
        <f>IFERROR(HostBuild[Archive
Full (GB)]*15%,"")</f>
        <v>11.373749999999999</v>
      </c>
      <c r="BZ94" s="51"/>
      <c r="CA94" s="51"/>
      <c r="CB94" s="52"/>
      <c r="CC94" s="53"/>
      <c r="CD94" s="52"/>
      <c r="CE94" s="54"/>
      <c r="CF94" s="128"/>
      <c r="CG94" s="114"/>
      <c r="CH94" s="55"/>
      <c r="CI94" s="56"/>
      <c r="CJ94" s="57"/>
      <c r="CK94" s="58"/>
      <c r="CL94" s="59">
        <f>IFERROR(IF(FIND(CL$1,$W94)&gt;0,IF(INDEX([1]!Product_Pricing_Table[#Data],MATCH(CL$1,Products,0),2)="Cores",IF(HostBuild[Use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4" s="59">
        <f>IFERROR(IF(FIND(CM$1,$W94)&gt;0,IF(INDEX([1]!Product_Pricing_Table[#Data],MATCH(CM$1,Products,0),2)="Cores",IF(HostBuild[Use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4" s="59">
        <f>IFERROR(IF(FIND(CN$1,$W94)&gt;0,IF(INDEX([1]!Product_Pricing_Table[#Data],MATCH(CN$1,Products,0),2)="Cores",IF(HostBuild[Use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4" s="59">
        <f>IFERROR(IF(FIND(CO$1,$W94)&gt;0,IF(INDEX([1]!Product_Pricing_Table[#Data],MATCH(CO$1,Products,0),2)="Cores",IF(HostBuild[Use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4" s="59">
        <f>IFERROR(IF(FIND(CP$1,$W94)&gt;0,IF(INDEX([1]!Product_Pricing_Table[#Data],MATCH(CP$1,Products,0),2)="Cores",IF(HostBuild[Use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4" s="59">
        <f>IFERROR(IF(FIND(CQ$1,$W94)&gt;0,IF(INDEX([1]!Product_Pricing_Table[#Data],MATCH(CQ$1,Products,0),2)="Cores",IF(HostBuild[Use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4" s="59">
        <f>IFERROR(IF(FIND(CR$1,$W94)&gt;0,IF(INDEX([1]!Product_Pricing_Table[#Data],MATCH(CR$1,Products,0),2)="Cores",IF(HostBuild[Use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4" s="59">
        <f>IFERROR(IF(FIND(CS$1,$W94)&gt;0,IF(INDEX([1]!Product_Pricing_Table[#Data],MATCH(CS$1,Products,0),2)="Cores",IF(HostBuild[Use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4" s="59">
        <f>IFERROR(IF(FIND(CT$1,$W94)&gt;0,IF(INDEX([1]!Product_Pricing_Table[#Data],MATCH(CT$1,Products,0),2)="Cores",IF(HostBuild[Use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4" s="59">
        <f>IFERROR(IF(FIND(CU$1,$W94)&gt;0,IF(INDEX([1]!Product_Pricing_Table[#Data],MATCH(CU$1,Products,0),2)="Cores",IF(HostBuild[Use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4" s="59">
        <f>IFERROR(IF(FIND(CV$1,$W94)&gt;0,IF(INDEX([1]!Product_Pricing_Table[#Data],MATCH(CV$1,Products,0),2)="Cores",IF(HostBuild[Use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4" s="59">
        <f>IFERROR(IF(FIND(CW$1,$W94)&gt;0,IF(INDEX([1]!Product_Pricing_Table[#Data],MATCH(CW$1,Products,0),2)="Cores",IF(HostBuild[Use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4" s="59">
        <f>IFERROR(IF(FIND(CX$1,$W94)&gt;0,IF(INDEX([1]!Product_Pricing_Table[#Data],MATCH(CX$1,Products,0),2)="Cores",IF(HostBuild[Use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4" s="59">
        <f>IFERROR(IF(FIND(CY$1,$W94)&gt;0,IF(INDEX([1]!Product_Pricing_Table[#Data],MATCH(CY$1,Products,0),2)="Cores",IF(HostBuild[Use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4" s="59">
        <f>IFERROR(IF(FIND(CZ$1,$W94)&gt;0,IF(INDEX([1]!Product_Pricing_Table[#Data],MATCH(CZ$1,Products,0),2)="Cores",IF(HostBuild[Use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4" s="59">
        <f>IFERROR(IF(FIND(DA$1,$W94)&gt;0,IF(INDEX([1]!Product_Pricing_Table[#Data],MATCH(DA$1,Products,0),2)="Cores",IF(HostBuild[Use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4" s="59">
        <f>IFERROR(IF(FIND(DB$1,$W94)&gt;0,IF(INDEX([1]!Product_Pricing_Table[#Data],MATCH(DB$1,Products,0),2)="Cores",IF(HostBuild[Use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4" s="59">
        <f>IFERROR(IF(FIND(DC$1,$W94)&gt;0,IF(INDEX([1]!Product_Pricing_Table[#Data],MATCH(DC$1,Products,0),2)="Cores",IF(HostBuild[Use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4" s="59">
        <f>IFERROR(IF(FIND(DD$1,$W94)&gt;0,IF(INDEX([1]!Product_Pricing_Table[#Data],MATCH(DD$1,Products,0),2)="Cores",IF(HostBuild[Use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4" s="59">
        <f>IFERROR(IF(FIND(DE$1,$W94)&gt;0,IF(INDEX([1]!Product_Pricing_Table[#Data],MATCH(DE$1,Products,0),2)="Cores",IF(HostBuild[Use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4" s="60">
        <f>IFERROR(IF(FIND(DF$1,$W94)&gt;0,IF(INDEX([1]!Product_Pricing_Table[#Data],MATCH(DF$1,Products,0),2)="Cores",IF(HostBuild[Use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4" s="60">
        <f>IFERROR(IF(FIND(DG$1,$W94)&gt;0,IF(INDEX([1]!Product_Pricing_Table[#Data],MATCH(DG$1,Products,0),2)="Cores",IF(HostBuild[Use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4" s="59">
        <f>IFERROR(IF(FIND(DH$1,$W94)&gt;0,IF(INDEX([1]!Product_Pricing_Table[#Data],MATCH(DH$1,Products,0),2)="Cores",IF(HostBuild[Use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4" s="60">
        <f>IFERROR(IF(FIND(DI$1,$W94)&gt;0,IF(INDEX([1]!Product_Pricing_Table[#Data],MATCH(DI$1,Products,0),2)="Cores",IF(HostBuild[Use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4" s="59">
        <f>IFERROR(IF(FIND(DJ$1,$W94)&gt;0,IF(INDEX([1]!Product_Pricing_Table[#Data],MATCH(DJ$1,Products,0),2)="Cores",IF(HostBuild[Use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4" s="59">
        <f>IFERROR(IF(FIND(DK$1,$W94)&gt;0,IF(INDEX([1]!Product_Pricing_Table[#Data],MATCH(DK$1,Products,0),2)="Cores",IF(HostBuild[Use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4" s="59">
        <f>IFERROR(IF(FIND(DL$1,$W94)&gt;0,IF(INDEX([1]!Product_Pricing_Table[#Data],MATCH(DL$1,Products,0),2)="Cores",IF(HostBuild[Use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4" s="59">
        <f>IFERROR(IF(FIND(DM$1,$W94)&gt;0,IF(INDEX([1]!Product_Pricing_Table[#Data],MATCH(DM$1,Products,0),2)="Cores",IF(HostBuild[Use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4" s="59">
        <f>IFERROR(IF(FIND(DN$1,$W94)&gt;0,IF(INDEX([1]!Product_Pricing_Table[#Data],MATCH(DN$1,Products,0),2)="Cores",IF(HostBuild[Use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4" s="59">
        <f>IFERROR(IF(FIND(DO$1,$W94)&gt;0,IF(INDEX([1]!Product_Pricing_Table[#Data],MATCH(DO$1,Products,0),2)="Cores",IF(HostBuild[Use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4" s="59">
        <f>IFERROR(IF(FIND(DP$1,$W94)&gt;0,IF(INDEX([1]!Product_Pricing_Table[#Data],MATCH(DP$1,Products,0),2)="Cores",IF(HostBuild[Use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4" s="59">
        <f>IFERROR(IF(FIND(DQ$1,$W94)&gt;0,IF(INDEX([1]!Product_Pricing_Table[#Data],MATCH(DQ$1,Products,0),2)="Cores",IF(HostBuild[Use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4" s="59">
        <f>IFERROR(IF(FIND(DR$1,$W94)&gt;0,IF(INDEX([1]!Product_Pricing_Table[#Data],MATCH(DR$1,Products,0),2)="Cores",IF(HostBuild[Use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4" s="59">
        <f>IFERROR(IF(FIND(DS$1,$W94)&gt;0,IF(INDEX([1]!Product_Pricing_Table[#Data],MATCH(DS$1,Products,0),2)="Cores",IF(HostBuild[Use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4" s="59">
        <f>IFERROR(IF(FIND(DT$1,$W94)&gt;0,IF(INDEX([1]!Product_Pricing_Table[#Data],MATCH(DT$1,Products,0),2)="Cores",IF(HostBuild[Use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4" s="59">
        <f>IFERROR(IF(FIND(DU$1,$W94)&gt;0,IF(INDEX([1]!Product_Pricing_Table[#Data],MATCH(DU$1,Products,0),2)="Cores",IF(HostBuild[Use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4" s="59">
        <f>IFERROR(IF(FIND(DV$1,$W94)&gt;0,IF(INDEX([1]!Product_Pricing_Table[#Data],MATCH(DV$1,Products,0),2)="Cores",IF(HostBuild[Use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4" s="59">
        <f>IFERROR(IF(FIND(DW$1,$W94)&gt;0,IF(INDEX([1]!Product_Pricing_Table[#Data],MATCH(DW$1,Products,0),2)="Cores",IF(HostBuild[Use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4" s="59">
        <f>IFERROR(IF(FIND(DX$1,$W94)&gt;0,IF(INDEX([1]!Product_Pricing_Table[#Data],MATCH(DX$1,Products,0),2)="Cores",IF(HostBuild[Use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4" s="59">
        <f>IFERROR(IF(FIND(DY$1,$W94)&gt;0,IF(INDEX([1]!Product_Pricing_Table[#Data],MATCH(DY$1,Products,0),2)="Cores",IF(HostBuild[Use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4" s="59">
        <f>IFERROR(IF(FIND(DZ$1,$W94)&gt;0,IF(INDEX([1]!Product_Pricing_Table[#Data],MATCH(DZ$1,Products,0),2)="Cores",IF(HostBuild[Use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4" s="59">
        <f>IFERROR(IF(FIND(EA$1,$W94)&gt;0,IF(INDEX([1]!Product_Pricing_Table[#Data],MATCH(EA$1,Products,0),2)="Cores",IF(HostBuild[Use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4" s="59">
        <f>IFERROR(IF(FIND(EB$1,$W94)&gt;0,IF(INDEX([1]!Product_Pricing_Table[#Data],MATCH(EB$1,Products,0),2)="Cores",IF(HostBuild[Use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4" s="60">
        <f>IFERROR(IF(FIND(EC$1,$W94)&gt;0,IF(INDEX([1]!Product_Pricing_Table[#Data],MATCH(EC$1,Products,0),2)="Cores",IF(HostBuild[Use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4" s="59">
        <f>IFERROR(IF(FIND(ED$1,$W94)&gt;0,IF(INDEX([1]!Product_Pricing_Table[#Data],MATCH(ED$1,Products,0),2)="Cores",IF(HostBuild[Use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4" s="59">
        <f>IFERROR(IF(FIND(EE$1,$W94)&gt;0,IF(INDEX([1]!Product_Pricing_Table[#Data],MATCH(EE$1,Products,0),2)="Cores",IF(HostBuild[Use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4" s="59">
        <f>IFERROR(IF(FIND(EF$1,$W94)&gt;0,IF(INDEX([1]!Product_Pricing_Table[#Data],MATCH(EF$1,Products,0),2)="Cores",IF(HostBuild[Use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4" s="59">
        <f>IFERROR(IF(FIND(EG$1,$W94)&gt;0,IF(INDEX([1]!Product_Pricing_Table[#Data],MATCH(EG$1,Products,0),2)="Cores",IF(HostBuild[Use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4" s="59">
        <f>IFERROR(IF(FIND(EH$1,$W94)&gt;0,IF(INDEX([1]!Product_Pricing_Table[#Data],MATCH(EH$1,Products,0),2)="Cores",IF(HostBuild[Use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4" s="59">
        <f>IFERROR(IF(FIND(EI$1,$W94)&gt;0,IF(INDEX([1]!Product_Pricing_Table[#Data],MATCH(EI$1,Products,0),2)="Cores",IF(HostBuild[Use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4" s="59">
        <f>IFERROR(IF(FIND(EJ$1,$W94)&gt;0,IF(INDEX([1]!Product_Pricing_Table[#Data],MATCH(EJ$1,Products,0),2)="Cores",IF(HostBuild[Use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4" s="60">
        <f>IFERROR(IF(FIND(EK$1,$W94)&gt;0,IF(INDEX([1]!Product_Pricing_Table[#Data],MATCH(EK$1,Products,0),2)="Cores",IF(HostBuild[Use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4" s="61"/>
      <c r="EM94" s="62">
        <v>172.46639999999999</v>
      </c>
      <c r="EN94" s="63">
        <v>30.198399999999999</v>
      </c>
      <c r="EO94"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9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136.48500000000001</v>
      </c>
      <c r="EQ94" s="132">
        <f>(HostBuild[Archive
Full (GB)]+HostBuild[Archive
Incr (GB)])*Storage_DC_Dist_Tape_2014</f>
        <v>30.519562499999999</v>
      </c>
      <c r="ER94" s="132">
        <f>IF(ISNUMBER(HostBuild[Server HW Costs
(Monthly)]),SUM(HostBuild[[#This Row],[Server HW Costs
(Monthly)]:[Tape Costs
(Monthly)]]),0)</f>
        <v>167.00456250000002</v>
      </c>
      <c r="ES94" s="65">
        <f>HostBuild[Software Costs
'[Year 1']
(Monthly)]+HostBuild[Total Hardware Costs
(Monthly)]</f>
        <v>339.47096250000004</v>
      </c>
      <c r="ET94" s="65">
        <f>IFERROR(IF(FIND("Safenet",HostBuild[Server Model]),Safenet_PSE_PL600_Maint,0),0)+IFERROR(IF(FIND("XI52",HostBuild[Server Model]),IBM_DIA_XI52_Maint,0),0)+HostBuild[Software Costs
'[After Year 1']
(Monthly)]+HostBuild[Total Hardware Costs
(Monthly)]</f>
        <v>197.20296250000001</v>
      </c>
      <c r="EU94" s="66">
        <f>SUM(HostBuild[[#This Row],[Server Cost Breakdown]:[Network Cost]])</f>
        <v>0</v>
      </c>
      <c r="EV94" s="67">
        <f>IF(HostBuild[Existing Server?]="Yes - Inside this BoM",0,SUMIF(HostBuild[Alias],HostBuild[Alias],HostBuild[CPU])+SUMIF(HostBuild[Alias],HostBuild[Alias],HostBuild[Existing CPUs]))</f>
        <v>0</v>
      </c>
      <c r="EW94" s="67">
        <f>IF(HostBuild[Existing Server?]="Yes - Inside this BoM",0,SUMIF(HostBuild[Alias],HostBuild[Alias],HostBuild[Cores 
(Licensed Units)])+SUMIF(HostBuild[Alias],HostBuild[Alias],HostBuild[Existing Cores]))</f>
        <v>0</v>
      </c>
      <c r="EX94" s="67">
        <f>IF(HostBuild[Existing Server?]="Yes - Inside this BoM",0,SUMIF(HostBuild[Alias],HostBuild[Alias],HostBuild[RAM 
(GB)])+SUMIF(HostBuild[Alias],HostBuild[Alias],HostBuild[Existing RAM (GB)]))</f>
        <v>0</v>
      </c>
      <c r="EY9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4" s="66">
        <f>IF(ISBLANK(HostBuild[Server Model]),0,IF(HostBuild[Server Tier]="VMware",0,VLOOKUP(HostBuild[Server Tier],[1]!ServerTierRates[#Data],2,0))*HostBuild[CPU]*IF(AND(HostBuild[Server Type]="pSeries",HostBuild[Virtual Platform Storage Type]="Cloud-SAN"),0.25,1))</f>
        <v>0</v>
      </c>
      <c r="FD94" s="66">
        <f>0</f>
        <v>0</v>
      </c>
      <c r="FE94" s="66">
        <f>IF(HostBuild[Server Type]="VMware",HostBuild[RAM 
(GB)]*IF(ISERROR(FIND("DevCloud", HostBuild[Server Model])&gt;0),vRAM_per_vCPU_2014_Monthly,vRAM_per_vCPU_2014_Daily*30),0)</f>
        <v>0</v>
      </c>
      <c r="FF9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4" s="69">
        <f>IF(HostBuild[Server Tier]="VMware",0,IF(LEFT(HostBuild[Existing Server?],3)="Yes",0,IF(OR(HostBuild[Server Type]="Sun",HostBuild[Server Type]="pSeries"),Support_Direct_Server_Sun_per_OS_2014,IF(HostBuild[Server Type]="x86",Support_Direct_Server_x86_Wintel_per_OS_2014,0))))</f>
        <v>0</v>
      </c>
      <c r="FI9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5" spans="1:165" hidden="1">
      <c r="A95" s="122" t="s">
        <v>53</v>
      </c>
      <c r="B95" s="36"/>
      <c r="C95" s="36"/>
      <c r="D95" s="36"/>
      <c r="E95" s="37"/>
      <c r="F95" s="37"/>
      <c r="G95" s="103"/>
      <c r="H95" s="103"/>
      <c r="I95" s="38"/>
      <c r="J95" s="37"/>
      <c r="K95" s="37"/>
      <c r="L95" s="37"/>
      <c r="M95" s="103" t="e">
        <f ca="1">IF(rngIsDate(HostBuild[CTO Acceptance]),"Y","N")</f>
        <v>#NAME?</v>
      </c>
      <c r="N95" s="123" t="s">
        <v>3</v>
      </c>
      <c r="O95" s="39"/>
      <c r="P95" s="39"/>
      <c r="Q95" s="123" t="s">
        <v>1</v>
      </c>
      <c r="R95" s="126" t="str">
        <f>IF(NOT(ISBLANK(HostBuild[Env Label])),IFERROR(VLOOKUP(HostBuild[Env Label],[1]!tEnv[#Data],3,FALSE),""),"")</f>
        <v/>
      </c>
      <c r="S95" s="104"/>
      <c r="T95" s="40"/>
      <c r="U95" s="105"/>
      <c r="V95" s="123" t="s">
        <v>107</v>
      </c>
      <c r="W95" s="123" t="s">
        <v>108</v>
      </c>
      <c r="X95" s="123" t="s">
        <v>99</v>
      </c>
      <c r="Y95" s="123" t="s">
        <v>58</v>
      </c>
      <c r="Z95" s="126" t="str">
        <f>IF(NOT(ISBLANK(HostBuild[[#This Row],[Product 
(Acronym)]])),CONCATENATE(HostBuild[[#This Row],[Type]],"-",HostBuild[[#This Row],[Product 
(Acronym)]]),"")</f>
        <v>DB-ESB</v>
      </c>
      <c r="AA95" s="106"/>
      <c r="AB95" s="106" t="s">
        <v>59</v>
      </c>
      <c r="AC95" s="41"/>
      <c r="AD95" s="42"/>
      <c r="AE95" s="42"/>
      <c r="AF95" s="43" t="s">
        <v>60</v>
      </c>
      <c r="AG95" s="124"/>
      <c r="AH95" s="107"/>
      <c r="AI95" s="124" t="s">
        <v>179</v>
      </c>
      <c r="AJ95" s="123">
        <f>IF(COUNTIF(HostBuild[Alias],HostBuild[Alias]),1/COUNTIF(HostBuild[Alias],HostBuild[Alias]),0)</f>
        <v>1</v>
      </c>
      <c r="AK95" s="124"/>
      <c r="AL95" s="124"/>
      <c r="AM95" s="44" t="s">
        <v>101</v>
      </c>
      <c r="AN95" s="45" t="str">
        <f>IF(NOT(ISBLANK(HostBuild[Server Model])),VLOOKUP(HostBuild[Server Model],[1]!ServerModelsTier[#Data],2,FALSE),"")</f>
        <v>IBM P-Series Tier 2</v>
      </c>
      <c r="AO95" s="45" t="str">
        <f>IF(NOT(ISBLANK(HostBuild[Server Model])),VLOOKUP(HostBuild[Server Model],[1]!ServerModelsTier[#Data],5,FALSE),"")</f>
        <v>pSeries</v>
      </c>
      <c r="AP95" s="44"/>
      <c r="AQ95" s="44" t="s">
        <v>102</v>
      </c>
      <c r="AR95" s="47"/>
      <c r="AS95" s="108"/>
      <c r="AT95" s="47"/>
      <c r="AU95" s="109"/>
      <c r="AV95" s="48"/>
      <c r="AW95" s="124"/>
      <c r="AX95" s="124"/>
      <c r="AY95" s="124"/>
      <c r="AZ95" s="49"/>
      <c r="BA95" s="124"/>
      <c r="BB95" s="124"/>
      <c r="BC95" s="42"/>
      <c r="BD95" s="124"/>
      <c r="BE95" s="124"/>
      <c r="BF95" s="124"/>
      <c r="BG95" s="124"/>
      <c r="BH95" s="124"/>
      <c r="BI95" s="124"/>
      <c r="BJ95" s="124"/>
      <c r="BK95"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95" s="127">
        <v>300</v>
      </c>
      <c r="BM95" s="129">
        <f>IF(ISNUMBER(HostBuild[Recommended SAN (GB)]),HostBuild[Recommended SAN (GB)])+IF(HostBuild[Additional SAN (GB)]&gt;0,CEILING(HostBuild[Additional SAN (GB)],LUN),-(CEILING(-HostBuild[Additional SAN (GB)],LUN)))</f>
        <v>303.3</v>
      </c>
      <c r="BN95" s="128"/>
      <c r="BO95" s="129">
        <f>HostBuild[SAN (GB)
NEEDED TODAY]+CEILING(HostBuild[SAN (GB)
RESERVED
DO NOT USE TO BUILD], LUN)</f>
        <v>303.3</v>
      </c>
      <c r="BP95" s="130">
        <v>100</v>
      </c>
      <c r="BQ95" s="131"/>
      <c r="BR95" s="125" t="s">
        <v>76</v>
      </c>
      <c r="BS95" s="110">
        <f>IF(HostBuild[Existing Server?]&lt;&gt;"Yes - Inside this BoM",IF(ISNUMBER(HostBuild[RAM 
(GB)]),IF(HostBuild[Existing RAM (GB)]+HostBuild[RAM 
(GB)]&gt;0,IF(HostBuild[Virtual Platform Storage Type]="NAS",110+HostBuild[Existing RAM (GB)]+HostBuild[RAM 
(GB)]*1.75,0),0),0),0)</f>
        <v>0</v>
      </c>
      <c r="BT95" s="111"/>
      <c r="BU95" s="112">
        <f>IF(ISNUMBER(HostBuild[Recommended NAS (GB)]),HostBuild[Recommended NAS (GB)])+HostBuild[Additional NAS (GB)]</f>
        <v>0</v>
      </c>
      <c r="BV95" s="50"/>
      <c r="BW95" s="50"/>
      <c r="BX95" s="133">
        <f>IFERROR((HostBuild[SAN (GB)
End-State
DO NOT USE TO BUILD]+HostBuild[SAN (GB) Shared])*25%,"")</f>
        <v>100.825</v>
      </c>
      <c r="BY95" s="113">
        <f>IFERROR(HostBuild[Archive
Full (GB)]*15%,"")</f>
        <v>15.123749999999999</v>
      </c>
      <c r="BZ95" s="51"/>
      <c r="CA95" s="51"/>
      <c r="CB95" s="52"/>
      <c r="CC95" s="53"/>
      <c r="CD95" s="52"/>
      <c r="CE95" s="54"/>
      <c r="CF95" s="128"/>
      <c r="CG95" s="114"/>
      <c r="CH95" s="55"/>
      <c r="CI95" s="56"/>
      <c r="CJ95" s="57"/>
      <c r="CK95" s="58"/>
      <c r="CL95" s="59">
        <f>IFERROR(IF(FIND(CL$1,$W95)&gt;0,IF(INDEX([1]!Product_Pricing_Table[#Data],MATCH(CL$1,Products,0),2)="Cores",IF(HostBuild[Use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5" s="59">
        <f>IFERROR(IF(FIND(CM$1,$W95)&gt;0,IF(INDEX([1]!Product_Pricing_Table[#Data],MATCH(CM$1,Products,0),2)="Cores",IF(HostBuild[Use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5" s="59">
        <f>IFERROR(IF(FIND(CN$1,$W95)&gt;0,IF(INDEX([1]!Product_Pricing_Table[#Data],MATCH(CN$1,Products,0),2)="Cores",IF(HostBuild[Use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5" s="59">
        <f>IFERROR(IF(FIND(CO$1,$W95)&gt;0,IF(INDEX([1]!Product_Pricing_Table[#Data],MATCH(CO$1,Products,0),2)="Cores",IF(HostBuild[Use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5" s="59">
        <f>IFERROR(IF(FIND(CP$1,$W95)&gt;0,IF(INDEX([1]!Product_Pricing_Table[#Data],MATCH(CP$1,Products,0),2)="Cores",IF(HostBuild[Use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5" s="59">
        <f>IFERROR(IF(FIND(CQ$1,$W95)&gt;0,IF(INDEX([1]!Product_Pricing_Table[#Data],MATCH(CQ$1,Products,0),2)="Cores",IF(HostBuild[Use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5" s="59">
        <f>IFERROR(IF(FIND(CR$1,$W95)&gt;0,IF(INDEX([1]!Product_Pricing_Table[#Data],MATCH(CR$1,Products,0),2)="Cores",IF(HostBuild[Use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5" s="59">
        <f>IFERROR(IF(FIND(CS$1,$W95)&gt;0,IF(INDEX([1]!Product_Pricing_Table[#Data],MATCH(CS$1,Products,0),2)="Cores",IF(HostBuild[Use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5" s="59">
        <f>IFERROR(IF(FIND(CT$1,$W95)&gt;0,IF(INDEX([1]!Product_Pricing_Table[#Data],MATCH(CT$1,Products,0),2)="Cores",IF(HostBuild[Use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5" s="59">
        <f>IFERROR(IF(FIND(CU$1,$W95)&gt;0,IF(INDEX([1]!Product_Pricing_Table[#Data],MATCH(CU$1,Products,0),2)="Cores",IF(HostBuild[Use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5" s="59">
        <f>IFERROR(IF(FIND(CV$1,$W95)&gt;0,IF(INDEX([1]!Product_Pricing_Table[#Data],MATCH(CV$1,Products,0),2)="Cores",IF(HostBuild[Use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5" s="59">
        <f>IFERROR(IF(FIND(CW$1,$W95)&gt;0,IF(INDEX([1]!Product_Pricing_Table[#Data],MATCH(CW$1,Products,0),2)="Cores",IF(HostBuild[Use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5" s="59">
        <f>IFERROR(IF(FIND(CX$1,$W95)&gt;0,IF(INDEX([1]!Product_Pricing_Table[#Data],MATCH(CX$1,Products,0),2)="Cores",IF(HostBuild[Use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5" s="59">
        <f>IFERROR(IF(FIND(CY$1,$W95)&gt;0,IF(INDEX([1]!Product_Pricing_Table[#Data],MATCH(CY$1,Products,0),2)="Cores",IF(HostBuild[Use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5" s="59">
        <f>IFERROR(IF(FIND(CZ$1,$W95)&gt;0,IF(INDEX([1]!Product_Pricing_Table[#Data],MATCH(CZ$1,Products,0),2)="Cores",IF(HostBuild[Use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5" s="59">
        <f>IFERROR(IF(FIND(DA$1,$W95)&gt;0,IF(INDEX([1]!Product_Pricing_Table[#Data],MATCH(DA$1,Products,0),2)="Cores",IF(HostBuild[Use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5" s="59">
        <f>IFERROR(IF(FIND(DB$1,$W95)&gt;0,IF(INDEX([1]!Product_Pricing_Table[#Data],MATCH(DB$1,Products,0),2)="Cores",IF(HostBuild[Use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5" s="59">
        <f>IFERROR(IF(FIND(DC$1,$W95)&gt;0,IF(INDEX([1]!Product_Pricing_Table[#Data],MATCH(DC$1,Products,0),2)="Cores",IF(HostBuild[Use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5" s="59">
        <f>IFERROR(IF(FIND(DD$1,$W95)&gt;0,IF(INDEX([1]!Product_Pricing_Table[#Data],MATCH(DD$1,Products,0),2)="Cores",IF(HostBuild[Use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5" s="59">
        <f>IFERROR(IF(FIND(DE$1,$W95)&gt;0,IF(INDEX([1]!Product_Pricing_Table[#Data],MATCH(DE$1,Products,0),2)="Cores",IF(HostBuild[Use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5" s="60">
        <f>IFERROR(IF(FIND(DF$1,$W95)&gt;0,IF(INDEX([1]!Product_Pricing_Table[#Data],MATCH(DF$1,Products,0),2)="Cores",IF(HostBuild[Use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5" s="60">
        <f>IFERROR(IF(FIND(DG$1,$W95)&gt;0,IF(INDEX([1]!Product_Pricing_Table[#Data],MATCH(DG$1,Products,0),2)="Cores",IF(HostBuild[Use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5" s="59">
        <f>IFERROR(IF(FIND(DH$1,$W95)&gt;0,IF(INDEX([1]!Product_Pricing_Table[#Data],MATCH(DH$1,Products,0),2)="Cores",IF(HostBuild[Use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5" s="60">
        <f>IFERROR(IF(FIND(DI$1,$W95)&gt;0,IF(INDEX([1]!Product_Pricing_Table[#Data],MATCH(DI$1,Products,0),2)="Cores",IF(HostBuild[Use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5" s="59">
        <f>IFERROR(IF(FIND(DJ$1,$W95)&gt;0,IF(INDEX([1]!Product_Pricing_Table[#Data],MATCH(DJ$1,Products,0),2)="Cores",IF(HostBuild[Use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5" s="59">
        <f>IFERROR(IF(FIND(DK$1,$W95)&gt;0,IF(INDEX([1]!Product_Pricing_Table[#Data],MATCH(DK$1,Products,0),2)="Cores",IF(HostBuild[Use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5" s="59">
        <f>IFERROR(IF(FIND(DL$1,$W95)&gt;0,IF(INDEX([1]!Product_Pricing_Table[#Data],MATCH(DL$1,Products,0),2)="Cores",IF(HostBuild[Use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5" s="59">
        <f>IFERROR(IF(FIND(DM$1,$W95)&gt;0,IF(INDEX([1]!Product_Pricing_Table[#Data],MATCH(DM$1,Products,0),2)="Cores",IF(HostBuild[Use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5" s="59">
        <f>IFERROR(IF(FIND(DN$1,$W95)&gt;0,IF(INDEX([1]!Product_Pricing_Table[#Data],MATCH(DN$1,Products,0),2)="Cores",IF(HostBuild[Use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5" s="59">
        <f>IFERROR(IF(FIND(DO$1,$W95)&gt;0,IF(INDEX([1]!Product_Pricing_Table[#Data],MATCH(DO$1,Products,0),2)="Cores",IF(HostBuild[Use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5" s="59">
        <f>IFERROR(IF(FIND(DP$1,$W95)&gt;0,IF(INDEX([1]!Product_Pricing_Table[#Data],MATCH(DP$1,Products,0),2)="Cores",IF(HostBuild[Use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5" s="59">
        <f>IFERROR(IF(FIND(DQ$1,$W95)&gt;0,IF(INDEX([1]!Product_Pricing_Table[#Data],MATCH(DQ$1,Products,0),2)="Cores",IF(HostBuild[Use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5" s="59">
        <f>IFERROR(IF(FIND(DR$1,$W95)&gt;0,IF(INDEX([1]!Product_Pricing_Table[#Data],MATCH(DR$1,Products,0),2)="Cores",IF(HostBuild[Use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5" s="59">
        <f>IFERROR(IF(FIND(DS$1,$W95)&gt;0,IF(INDEX([1]!Product_Pricing_Table[#Data],MATCH(DS$1,Products,0),2)="Cores",IF(HostBuild[Use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5" s="59">
        <f>IFERROR(IF(FIND(DT$1,$W95)&gt;0,IF(INDEX([1]!Product_Pricing_Table[#Data],MATCH(DT$1,Products,0),2)="Cores",IF(HostBuild[Use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5" s="59">
        <f>IFERROR(IF(FIND(DU$1,$W95)&gt;0,IF(INDEX([1]!Product_Pricing_Table[#Data],MATCH(DU$1,Products,0),2)="Cores",IF(HostBuild[Use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5" s="59">
        <f>IFERROR(IF(FIND(DV$1,$W95)&gt;0,IF(INDEX([1]!Product_Pricing_Table[#Data],MATCH(DV$1,Products,0),2)="Cores",IF(HostBuild[Use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5" s="59">
        <f>IFERROR(IF(FIND(DW$1,$W95)&gt;0,IF(INDEX([1]!Product_Pricing_Table[#Data],MATCH(DW$1,Products,0),2)="Cores",IF(HostBuild[Use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5" s="59">
        <f>IFERROR(IF(FIND(DX$1,$W95)&gt;0,IF(INDEX([1]!Product_Pricing_Table[#Data],MATCH(DX$1,Products,0),2)="Cores",IF(HostBuild[Use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5" s="59">
        <f>IFERROR(IF(FIND(DY$1,$W95)&gt;0,IF(INDEX([1]!Product_Pricing_Table[#Data],MATCH(DY$1,Products,0),2)="Cores",IF(HostBuild[Use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5" s="59">
        <f>IFERROR(IF(FIND(DZ$1,$W95)&gt;0,IF(INDEX([1]!Product_Pricing_Table[#Data],MATCH(DZ$1,Products,0),2)="Cores",IF(HostBuild[Use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5" s="59">
        <f>IFERROR(IF(FIND(EA$1,$W95)&gt;0,IF(INDEX([1]!Product_Pricing_Table[#Data],MATCH(EA$1,Products,0),2)="Cores",IF(HostBuild[Use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5" s="59">
        <f>IFERROR(IF(FIND(EB$1,$W95)&gt;0,IF(INDEX([1]!Product_Pricing_Table[#Data],MATCH(EB$1,Products,0),2)="Cores",IF(HostBuild[Use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5" s="60">
        <f>IFERROR(IF(FIND(EC$1,$W95)&gt;0,IF(INDEX([1]!Product_Pricing_Table[#Data],MATCH(EC$1,Products,0),2)="Cores",IF(HostBuild[Use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5" s="59">
        <f>IFERROR(IF(FIND(ED$1,$W95)&gt;0,IF(INDEX([1]!Product_Pricing_Table[#Data],MATCH(ED$1,Products,0),2)="Cores",IF(HostBuild[Use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5" s="59">
        <f>IFERROR(IF(FIND(EE$1,$W95)&gt;0,IF(INDEX([1]!Product_Pricing_Table[#Data],MATCH(EE$1,Products,0),2)="Cores",IF(HostBuild[Use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5" s="59">
        <f>IFERROR(IF(FIND(EF$1,$W95)&gt;0,IF(INDEX([1]!Product_Pricing_Table[#Data],MATCH(EF$1,Products,0),2)="Cores",IF(HostBuild[Use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5" s="59">
        <f>IFERROR(IF(FIND(EG$1,$W95)&gt;0,IF(INDEX([1]!Product_Pricing_Table[#Data],MATCH(EG$1,Products,0),2)="Cores",IF(HostBuild[Use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5" s="59">
        <f>IFERROR(IF(FIND(EH$1,$W95)&gt;0,IF(INDEX([1]!Product_Pricing_Table[#Data],MATCH(EH$1,Products,0),2)="Cores",IF(HostBuild[Use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5" s="59">
        <f>IFERROR(IF(FIND(EI$1,$W95)&gt;0,IF(INDEX([1]!Product_Pricing_Table[#Data],MATCH(EI$1,Products,0),2)="Cores",IF(HostBuild[Use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5" s="59">
        <f>IFERROR(IF(FIND(EJ$1,$W95)&gt;0,IF(INDEX([1]!Product_Pricing_Table[#Data],MATCH(EJ$1,Products,0),2)="Cores",IF(HostBuild[Use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5" s="60">
        <f>IFERROR(IF(FIND(EK$1,$W95)&gt;0,IF(INDEX([1]!Product_Pricing_Table[#Data],MATCH(EK$1,Products,0),2)="Cores",IF(HostBuild[Use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5" s="61"/>
      <c r="EM95" s="62">
        <v>0</v>
      </c>
      <c r="EN95" s="63">
        <v>0</v>
      </c>
      <c r="EO95"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9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237.58500000000004</v>
      </c>
      <c r="EQ95" s="132">
        <f>(HostBuild[Archive
Full (GB)]+HostBuild[Archive
Incr (GB)])*Storage_DC_Dist_Tape_2014</f>
        <v>40.582062499999999</v>
      </c>
      <c r="ER95" s="132">
        <f>IF(ISNUMBER(HostBuild[Server HW Costs
(Monthly)]),SUM(HostBuild[[#This Row],[Server HW Costs
(Monthly)]:[Tape Costs
(Monthly)]]),0)</f>
        <v>278.16706250000004</v>
      </c>
      <c r="ES95" s="65">
        <f>HostBuild[Software Costs
'[Year 1']
(Monthly)]+HostBuild[Total Hardware Costs
(Monthly)]</f>
        <v>278.16706250000004</v>
      </c>
      <c r="ET95" s="65">
        <f>IFERROR(IF(FIND("Safenet",HostBuild[Server Model]),Safenet_PSE_PL600_Maint,0),0)+IFERROR(IF(FIND("XI52",HostBuild[Server Model]),IBM_DIA_XI52_Maint,0),0)+HostBuild[Software Costs
'[After Year 1']
(Monthly)]+HostBuild[Total Hardware Costs
(Monthly)]</f>
        <v>278.16706250000004</v>
      </c>
      <c r="EU95" s="66">
        <f>SUM(HostBuild[[#This Row],[Server Cost Breakdown]:[Network Cost]])</f>
        <v>0</v>
      </c>
      <c r="EV95" s="67">
        <f>IF(HostBuild[Existing Server?]="Yes - Inside this BoM",0,SUMIF(HostBuild[Alias],HostBuild[Alias],HostBuild[CPU])+SUMIF(HostBuild[Alias],HostBuild[Alias],HostBuild[Existing CPUs]))</f>
        <v>0</v>
      </c>
      <c r="EW95" s="67">
        <f>IF(HostBuild[Existing Server?]="Yes - Inside this BoM",0,SUMIF(HostBuild[Alias],HostBuild[Alias],HostBuild[Cores 
(Licensed Units)])+SUMIF(HostBuild[Alias],HostBuild[Alias],HostBuild[Existing Cores]))</f>
        <v>0</v>
      </c>
      <c r="EX95" s="67">
        <f>IF(HostBuild[Existing Server?]="Yes - Inside this BoM",0,SUMIF(HostBuild[Alias],HostBuild[Alias],HostBuild[RAM 
(GB)])+SUMIF(HostBuild[Alias],HostBuild[Alias],HostBuild[Existing RAM (GB)]))</f>
        <v>0</v>
      </c>
      <c r="EY9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5" s="66">
        <f>IF(ISBLANK(HostBuild[Server Model]),0,IF(HostBuild[Server Tier]="VMware",0,VLOOKUP(HostBuild[Server Tier],[1]!ServerTierRates[#Data],2,0))*HostBuild[CPU]*IF(AND(HostBuild[Server Type]="pSeries",HostBuild[Virtual Platform Storage Type]="Cloud-SAN"),0.25,1))</f>
        <v>0</v>
      </c>
      <c r="FD95" s="66">
        <f>0</f>
        <v>0</v>
      </c>
      <c r="FE95" s="66">
        <f>IF(HostBuild[Server Type]="VMware",HostBuild[RAM 
(GB)]*IF(ISERROR(FIND("DevCloud", HostBuild[Server Model])&gt;0),vRAM_per_vCPU_2014_Monthly,vRAM_per_vCPU_2014_Daily*30),0)</f>
        <v>0</v>
      </c>
      <c r="FF9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5" s="69">
        <f>IF(HostBuild[Server Tier]="VMware",0,IF(LEFT(HostBuild[Existing Server?],3)="Yes",0,IF(OR(HostBuild[Server Type]="Sun",HostBuild[Server Type]="pSeries"),Support_Direct_Server_Sun_per_OS_2014,IF(HostBuild[Server Type]="x86",Support_Direct_Server_x86_Wintel_per_OS_2014,0))))</f>
        <v>0</v>
      </c>
      <c r="FI9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6" spans="1:165" hidden="1">
      <c r="A96" s="122" t="s">
        <v>53</v>
      </c>
      <c r="B96" s="36"/>
      <c r="C96" s="36"/>
      <c r="D96" s="36"/>
      <c r="E96" s="37"/>
      <c r="F96" s="37"/>
      <c r="G96" s="103"/>
      <c r="H96" s="103"/>
      <c r="I96" s="38"/>
      <c r="J96" s="37"/>
      <c r="K96" s="37"/>
      <c r="L96" s="37"/>
      <c r="M96" s="103" t="e">
        <f ca="1">IF(rngIsDate(HostBuild[CTO Acceptance]),"Y","N")</f>
        <v>#NAME?</v>
      </c>
      <c r="N96" s="123" t="s">
        <v>3</v>
      </c>
      <c r="O96" s="39"/>
      <c r="P96" s="39"/>
      <c r="Q96" s="123" t="s">
        <v>1</v>
      </c>
      <c r="R96" s="126" t="str">
        <f>IF(NOT(ISBLANK(HostBuild[Env Label])),IFERROR(VLOOKUP(HostBuild[Env Label],[1]!tEnv[#Data],3,FALSE),""),"")</f>
        <v/>
      </c>
      <c r="S96" s="104"/>
      <c r="T96" s="40"/>
      <c r="U96" s="105"/>
      <c r="V96" s="123" t="s">
        <v>110</v>
      </c>
      <c r="W96" s="123" t="s">
        <v>108</v>
      </c>
      <c r="X96" s="123" t="s">
        <v>99</v>
      </c>
      <c r="Y96" s="123" t="s">
        <v>58</v>
      </c>
      <c r="Z96" s="126" t="str">
        <f>IF(NOT(ISBLANK(HostBuild[[#This Row],[Product 
(Acronym)]])),CONCATENATE(HostBuild[[#This Row],[Type]],"-",HostBuild[[#This Row],[Product 
(Acronym)]]),"")</f>
        <v>DB-ESB</v>
      </c>
      <c r="AA96" s="106"/>
      <c r="AB96" s="106" t="s">
        <v>59</v>
      </c>
      <c r="AC96" s="41"/>
      <c r="AD96" s="42"/>
      <c r="AE96" s="42"/>
      <c r="AF96" s="43" t="s">
        <v>60</v>
      </c>
      <c r="AG96" s="124"/>
      <c r="AH96" s="107"/>
      <c r="AI96" s="124" t="s">
        <v>180</v>
      </c>
      <c r="AJ96" s="123">
        <f>IF(COUNTIF(HostBuild[Alias],HostBuild[Alias]),1/COUNTIF(HostBuild[Alias],HostBuild[Alias]),0)</f>
        <v>1</v>
      </c>
      <c r="AK96" s="124"/>
      <c r="AL96" s="124"/>
      <c r="AM96" s="44" t="s">
        <v>101</v>
      </c>
      <c r="AN96" s="45" t="str">
        <f>IF(NOT(ISBLANK(HostBuild[Server Model])),VLOOKUP(HostBuild[Server Model],[1]!ServerModelsTier[#Data],2,FALSE),"")</f>
        <v>IBM P-Series Tier 2</v>
      </c>
      <c r="AO96" s="45" t="str">
        <f>IF(NOT(ISBLANK(HostBuild[Server Model])),VLOOKUP(HostBuild[Server Model],[1]!ServerModelsTier[#Data],5,FALSE),"")</f>
        <v>pSeries</v>
      </c>
      <c r="AP96" s="44"/>
      <c r="AQ96" s="44" t="s">
        <v>102</v>
      </c>
      <c r="AR96" s="47"/>
      <c r="AS96" s="108"/>
      <c r="AT96" s="47"/>
      <c r="AU96" s="109"/>
      <c r="AV96" s="48"/>
      <c r="AW96" s="124"/>
      <c r="AX96" s="124"/>
      <c r="AY96" s="124"/>
      <c r="AZ96" s="49"/>
      <c r="BA96" s="124"/>
      <c r="BB96" s="124"/>
      <c r="BC96" s="42"/>
      <c r="BD96" s="124"/>
      <c r="BE96" s="124"/>
      <c r="BF96" s="124"/>
      <c r="BG96" s="124"/>
      <c r="BH96" s="124"/>
      <c r="BI96" s="124"/>
      <c r="BJ96" s="124"/>
      <c r="BK96"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96" s="127"/>
      <c r="BM96" s="129">
        <f>IF(ISNUMBER(HostBuild[Recommended SAN (GB)]),HostBuild[Recommended SAN (GB)])+IF(HostBuild[Additional SAN (GB)]&gt;0,CEILING(HostBuild[Additional SAN (GB)],LUN),-(CEILING(-HostBuild[Additional SAN (GB)],LUN)))</f>
        <v>0</v>
      </c>
      <c r="BN96" s="128"/>
      <c r="BO96" s="129">
        <f>HostBuild[SAN (GB)
NEEDED TODAY]+CEILING(HostBuild[SAN (GB)
RESERVED
DO NOT USE TO BUILD], LUN)</f>
        <v>0</v>
      </c>
      <c r="BP96" s="130"/>
      <c r="BQ96" s="131"/>
      <c r="BR96" s="125" t="s">
        <v>76</v>
      </c>
      <c r="BS96" s="110">
        <f>IF(HostBuild[Existing Server?]&lt;&gt;"Yes - Inside this BoM",IF(ISNUMBER(HostBuild[RAM 
(GB)]),IF(HostBuild[Existing RAM (GB)]+HostBuild[RAM 
(GB)]&gt;0,IF(HostBuild[Virtual Platform Storage Type]="NAS",110+HostBuild[Existing RAM (GB)]+HostBuild[RAM 
(GB)]*1.75,0),0),0),0)</f>
        <v>0</v>
      </c>
      <c r="BT96" s="111"/>
      <c r="BU96" s="112">
        <f>IF(ISNUMBER(HostBuild[Recommended NAS (GB)]),HostBuild[Recommended NAS (GB)])+HostBuild[Additional NAS (GB)]</f>
        <v>0</v>
      </c>
      <c r="BV96" s="50"/>
      <c r="BW96" s="50"/>
      <c r="BX96" s="133">
        <f>IFERROR((HostBuild[SAN (GB)
End-State
DO NOT USE TO BUILD]+HostBuild[SAN (GB) Shared])*25%,"")</f>
        <v>0</v>
      </c>
      <c r="BY96" s="113">
        <f>IFERROR(HostBuild[Archive
Full (GB)]*15%,"")</f>
        <v>0</v>
      </c>
      <c r="BZ96" s="51"/>
      <c r="CA96" s="51"/>
      <c r="CB96" s="52"/>
      <c r="CC96" s="53"/>
      <c r="CD96" s="52"/>
      <c r="CE96" s="54"/>
      <c r="CF96" s="128"/>
      <c r="CG96" s="114"/>
      <c r="CH96" s="55"/>
      <c r="CI96" s="56"/>
      <c r="CJ96" s="57"/>
      <c r="CK96" s="58"/>
      <c r="CL96" s="59">
        <f>IFERROR(IF(FIND(CL$1,$W96)&gt;0,IF(INDEX([1]!Product_Pricing_Table[#Data],MATCH(CL$1,Products,0),2)="Cores",IF(HostBuild[Use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6" s="59">
        <f>IFERROR(IF(FIND(CM$1,$W96)&gt;0,IF(INDEX([1]!Product_Pricing_Table[#Data],MATCH(CM$1,Products,0),2)="Cores",IF(HostBuild[Use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6" s="59">
        <f>IFERROR(IF(FIND(CN$1,$W96)&gt;0,IF(INDEX([1]!Product_Pricing_Table[#Data],MATCH(CN$1,Products,0),2)="Cores",IF(HostBuild[Use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6" s="59">
        <f>IFERROR(IF(FIND(CO$1,$W96)&gt;0,IF(INDEX([1]!Product_Pricing_Table[#Data],MATCH(CO$1,Products,0),2)="Cores",IF(HostBuild[Use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6" s="59">
        <f>IFERROR(IF(FIND(CP$1,$W96)&gt;0,IF(INDEX([1]!Product_Pricing_Table[#Data],MATCH(CP$1,Products,0),2)="Cores",IF(HostBuild[Use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6" s="59">
        <f>IFERROR(IF(FIND(CQ$1,$W96)&gt;0,IF(INDEX([1]!Product_Pricing_Table[#Data],MATCH(CQ$1,Products,0),2)="Cores",IF(HostBuild[Use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6" s="59">
        <f>IFERROR(IF(FIND(CR$1,$W96)&gt;0,IF(INDEX([1]!Product_Pricing_Table[#Data],MATCH(CR$1,Products,0),2)="Cores",IF(HostBuild[Use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6" s="59">
        <f>IFERROR(IF(FIND(CS$1,$W96)&gt;0,IF(INDEX([1]!Product_Pricing_Table[#Data],MATCH(CS$1,Products,0),2)="Cores",IF(HostBuild[Use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6" s="59">
        <f>IFERROR(IF(FIND(CT$1,$W96)&gt;0,IF(INDEX([1]!Product_Pricing_Table[#Data],MATCH(CT$1,Products,0),2)="Cores",IF(HostBuild[Use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6" s="59">
        <f>IFERROR(IF(FIND(CU$1,$W96)&gt;0,IF(INDEX([1]!Product_Pricing_Table[#Data],MATCH(CU$1,Products,0),2)="Cores",IF(HostBuild[Use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6" s="59">
        <f>IFERROR(IF(FIND(CV$1,$W96)&gt;0,IF(INDEX([1]!Product_Pricing_Table[#Data],MATCH(CV$1,Products,0),2)="Cores",IF(HostBuild[Use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6" s="59">
        <f>IFERROR(IF(FIND(CW$1,$W96)&gt;0,IF(INDEX([1]!Product_Pricing_Table[#Data],MATCH(CW$1,Products,0),2)="Cores",IF(HostBuild[Use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6" s="59">
        <f>IFERROR(IF(FIND(CX$1,$W96)&gt;0,IF(INDEX([1]!Product_Pricing_Table[#Data],MATCH(CX$1,Products,0),2)="Cores",IF(HostBuild[Use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6" s="59">
        <f>IFERROR(IF(FIND(CY$1,$W96)&gt;0,IF(INDEX([1]!Product_Pricing_Table[#Data],MATCH(CY$1,Products,0),2)="Cores",IF(HostBuild[Use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6" s="59">
        <f>IFERROR(IF(FIND(CZ$1,$W96)&gt;0,IF(INDEX([1]!Product_Pricing_Table[#Data],MATCH(CZ$1,Products,0),2)="Cores",IF(HostBuild[Use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6" s="59">
        <f>IFERROR(IF(FIND(DA$1,$W96)&gt;0,IF(INDEX([1]!Product_Pricing_Table[#Data],MATCH(DA$1,Products,0),2)="Cores",IF(HostBuild[Use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6" s="59">
        <f>IFERROR(IF(FIND(DB$1,$W96)&gt;0,IF(INDEX([1]!Product_Pricing_Table[#Data],MATCH(DB$1,Products,0),2)="Cores",IF(HostBuild[Use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6" s="59">
        <f>IFERROR(IF(FIND(DC$1,$W96)&gt;0,IF(INDEX([1]!Product_Pricing_Table[#Data],MATCH(DC$1,Products,0),2)="Cores",IF(HostBuild[Use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6" s="59">
        <f>IFERROR(IF(FIND(DD$1,$W96)&gt;0,IF(INDEX([1]!Product_Pricing_Table[#Data],MATCH(DD$1,Products,0),2)="Cores",IF(HostBuild[Use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6" s="59">
        <f>IFERROR(IF(FIND(DE$1,$W96)&gt;0,IF(INDEX([1]!Product_Pricing_Table[#Data],MATCH(DE$1,Products,0),2)="Cores",IF(HostBuild[Use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6" s="60">
        <f>IFERROR(IF(FIND(DF$1,$W96)&gt;0,IF(INDEX([1]!Product_Pricing_Table[#Data],MATCH(DF$1,Products,0),2)="Cores",IF(HostBuild[Use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6" s="60">
        <f>IFERROR(IF(FIND(DG$1,$W96)&gt;0,IF(INDEX([1]!Product_Pricing_Table[#Data],MATCH(DG$1,Products,0),2)="Cores",IF(HostBuild[Use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6" s="59">
        <f>IFERROR(IF(FIND(DH$1,$W96)&gt;0,IF(INDEX([1]!Product_Pricing_Table[#Data],MATCH(DH$1,Products,0),2)="Cores",IF(HostBuild[Use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6" s="60">
        <f>IFERROR(IF(FIND(DI$1,$W96)&gt;0,IF(INDEX([1]!Product_Pricing_Table[#Data],MATCH(DI$1,Products,0),2)="Cores",IF(HostBuild[Use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6" s="59">
        <f>IFERROR(IF(FIND(DJ$1,$W96)&gt;0,IF(INDEX([1]!Product_Pricing_Table[#Data],MATCH(DJ$1,Products,0),2)="Cores",IF(HostBuild[Use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6" s="59">
        <f>IFERROR(IF(FIND(DK$1,$W96)&gt;0,IF(INDEX([1]!Product_Pricing_Table[#Data],MATCH(DK$1,Products,0),2)="Cores",IF(HostBuild[Use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6" s="59">
        <f>IFERROR(IF(FIND(DL$1,$W96)&gt;0,IF(INDEX([1]!Product_Pricing_Table[#Data],MATCH(DL$1,Products,0),2)="Cores",IF(HostBuild[Use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6" s="59">
        <f>IFERROR(IF(FIND(DM$1,$W96)&gt;0,IF(INDEX([1]!Product_Pricing_Table[#Data],MATCH(DM$1,Products,0),2)="Cores",IF(HostBuild[Use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6" s="59">
        <f>IFERROR(IF(FIND(DN$1,$W96)&gt;0,IF(INDEX([1]!Product_Pricing_Table[#Data],MATCH(DN$1,Products,0),2)="Cores",IF(HostBuild[Use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6" s="59">
        <f>IFERROR(IF(FIND(DO$1,$W96)&gt;0,IF(INDEX([1]!Product_Pricing_Table[#Data],MATCH(DO$1,Products,0),2)="Cores",IF(HostBuild[Use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6" s="59">
        <f>IFERROR(IF(FIND(DP$1,$W96)&gt;0,IF(INDEX([1]!Product_Pricing_Table[#Data],MATCH(DP$1,Products,0),2)="Cores",IF(HostBuild[Use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6" s="59">
        <f>IFERROR(IF(FIND(DQ$1,$W96)&gt;0,IF(INDEX([1]!Product_Pricing_Table[#Data],MATCH(DQ$1,Products,0),2)="Cores",IF(HostBuild[Use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6" s="59">
        <f>IFERROR(IF(FIND(DR$1,$W96)&gt;0,IF(INDEX([1]!Product_Pricing_Table[#Data],MATCH(DR$1,Products,0),2)="Cores",IF(HostBuild[Use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6" s="59">
        <f>IFERROR(IF(FIND(DS$1,$W96)&gt;0,IF(INDEX([1]!Product_Pricing_Table[#Data],MATCH(DS$1,Products,0),2)="Cores",IF(HostBuild[Use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6" s="59">
        <f>IFERROR(IF(FIND(DT$1,$W96)&gt;0,IF(INDEX([1]!Product_Pricing_Table[#Data],MATCH(DT$1,Products,0),2)="Cores",IF(HostBuild[Use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6" s="59">
        <f>IFERROR(IF(FIND(DU$1,$W96)&gt;0,IF(INDEX([1]!Product_Pricing_Table[#Data],MATCH(DU$1,Products,0),2)="Cores",IF(HostBuild[Use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6" s="59">
        <f>IFERROR(IF(FIND(DV$1,$W96)&gt;0,IF(INDEX([1]!Product_Pricing_Table[#Data],MATCH(DV$1,Products,0),2)="Cores",IF(HostBuild[Use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6" s="59">
        <f>IFERROR(IF(FIND(DW$1,$W96)&gt;0,IF(INDEX([1]!Product_Pricing_Table[#Data],MATCH(DW$1,Products,0),2)="Cores",IF(HostBuild[Use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6" s="59">
        <f>IFERROR(IF(FIND(DX$1,$W96)&gt;0,IF(INDEX([1]!Product_Pricing_Table[#Data],MATCH(DX$1,Products,0),2)="Cores",IF(HostBuild[Use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6" s="59">
        <f>IFERROR(IF(FIND(DY$1,$W96)&gt;0,IF(INDEX([1]!Product_Pricing_Table[#Data],MATCH(DY$1,Products,0),2)="Cores",IF(HostBuild[Use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6" s="59">
        <f>IFERROR(IF(FIND(DZ$1,$W96)&gt;0,IF(INDEX([1]!Product_Pricing_Table[#Data],MATCH(DZ$1,Products,0),2)="Cores",IF(HostBuild[Use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6" s="59">
        <f>IFERROR(IF(FIND(EA$1,$W96)&gt;0,IF(INDEX([1]!Product_Pricing_Table[#Data],MATCH(EA$1,Products,0),2)="Cores",IF(HostBuild[Use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6" s="59">
        <f>IFERROR(IF(FIND(EB$1,$W96)&gt;0,IF(INDEX([1]!Product_Pricing_Table[#Data],MATCH(EB$1,Products,0),2)="Cores",IF(HostBuild[Use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6" s="60">
        <f>IFERROR(IF(FIND(EC$1,$W96)&gt;0,IF(INDEX([1]!Product_Pricing_Table[#Data],MATCH(EC$1,Products,0),2)="Cores",IF(HostBuild[Use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6" s="59">
        <f>IFERROR(IF(FIND(ED$1,$W96)&gt;0,IF(INDEX([1]!Product_Pricing_Table[#Data],MATCH(ED$1,Products,0),2)="Cores",IF(HostBuild[Use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6" s="59">
        <f>IFERROR(IF(FIND(EE$1,$W96)&gt;0,IF(INDEX([1]!Product_Pricing_Table[#Data],MATCH(EE$1,Products,0),2)="Cores",IF(HostBuild[Use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6" s="59">
        <f>IFERROR(IF(FIND(EF$1,$W96)&gt;0,IF(INDEX([1]!Product_Pricing_Table[#Data],MATCH(EF$1,Products,0),2)="Cores",IF(HostBuild[Use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6" s="59">
        <f>IFERROR(IF(FIND(EG$1,$W96)&gt;0,IF(INDEX([1]!Product_Pricing_Table[#Data],MATCH(EG$1,Products,0),2)="Cores",IF(HostBuild[Use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6" s="59">
        <f>IFERROR(IF(FIND(EH$1,$W96)&gt;0,IF(INDEX([1]!Product_Pricing_Table[#Data],MATCH(EH$1,Products,0),2)="Cores",IF(HostBuild[Use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6" s="59">
        <f>IFERROR(IF(FIND(EI$1,$W96)&gt;0,IF(INDEX([1]!Product_Pricing_Table[#Data],MATCH(EI$1,Products,0),2)="Cores",IF(HostBuild[Use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6" s="59">
        <f>IFERROR(IF(FIND(EJ$1,$W96)&gt;0,IF(INDEX([1]!Product_Pricing_Table[#Data],MATCH(EJ$1,Products,0),2)="Cores",IF(HostBuild[Use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6" s="60">
        <f>IFERROR(IF(FIND(EK$1,$W96)&gt;0,IF(INDEX([1]!Product_Pricing_Table[#Data],MATCH(EK$1,Products,0),2)="Cores",IF(HostBuild[Use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6" s="61"/>
      <c r="EM96" s="62">
        <v>0</v>
      </c>
      <c r="EN96" s="63">
        <v>0</v>
      </c>
      <c r="EO96"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9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96" s="132">
        <f>(HostBuild[Archive
Full (GB)]+HostBuild[Archive
Incr (GB)])*Storage_DC_Dist_Tape_2014</f>
        <v>0</v>
      </c>
      <c r="ER96" s="132">
        <f>IF(ISNUMBER(HostBuild[Server HW Costs
(Monthly)]),SUM(HostBuild[[#This Row],[Server HW Costs
(Monthly)]:[Tape Costs
(Monthly)]]),0)</f>
        <v>0</v>
      </c>
      <c r="ES96" s="65">
        <f>HostBuild[Software Costs
'[Year 1']
(Monthly)]+HostBuild[Total Hardware Costs
(Monthly)]</f>
        <v>0</v>
      </c>
      <c r="ET96" s="65">
        <f>IFERROR(IF(FIND("Safenet",HostBuild[Server Model]),Safenet_PSE_PL600_Maint,0),0)+IFERROR(IF(FIND("XI52",HostBuild[Server Model]),IBM_DIA_XI52_Maint,0),0)+HostBuild[Software Costs
'[After Year 1']
(Monthly)]+HostBuild[Total Hardware Costs
(Monthly)]</f>
        <v>0</v>
      </c>
      <c r="EU96" s="66">
        <f>SUM(HostBuild[[#This Row],[Server Cost Breakdown]:[Network Cost]])</f>
        <v>0</v>
      </c>
      <c r="EV96" s="67">
        <f>IF(HostBuild[Existing Server?]="Yes - Inside this BoM",0,SUMIF(HostBuild[Alias],HostBuild[Alias],HostBuild[CPU])+SUMIF(HostBuild[Alias],HostBuild[Alias],HostBuild[Existing CPUs]))</f>
        <v>0</v>
      </c>
      <c r="EW96" s="67">
        <f>IF(HostBuild[Existing Server?]="Yes - Inside this BoM",0,SUMIF(HostBuild[Alias],HostBuild[Alias],HostBuild[Cores 
(Licensed Units)])+SUMIF(HostBuild[Alias],HostBuild[Alias],HostBuild[Existing Cores]))</f>
        <v>0</v>
      </c>
      <c r="EX96" s="67">
        <f>IF(HostBuild[Existing Server?]="Yes - Inside this BoM",0,SUMIF(HostBuild[Alias],HostBuild[Alias],HostBuild[RAM 
(GB)])+SUMIF(HostBuild[Alias],HostBuild[Alias],HostBuild[Existing RAM (GB)]))</f>
        <v>0</v>
      </c>
      <c r="EY9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6" s="66">
        <f>IF(ISBLANK(HostBuild[Server Model]),0,IF(HostBuild[Server Tier]="VMware",0,VLOOKUP(HostBuild[Server Tier],[1]!ServerTierRates[#Data],2,0))*HostBuild[CPU]*IF(AND(HostBuild[Server Type]="pSeries",HostBuild[Virtual Platform Storage Type]="Cloud-SAN"),0.25,1))</f>
        <v>0</v>
      </c>
      <c r="FD96" s="66">
        <f>0</f>
        <v>0</v>
      </c>
      <c r="FE96" s="66">
        <f>IF(HostBuild[Server Type]="VMware",HostBuild[RAM 
(GB)]*IF(ISERROR(FIND("DevCloud", HostBuild[Server Model])&gt;0),vRAM_per_vCPU_2014_Monthly,vRAM_per_vCPU_2014_Daily*30),0)</f>
        <v>0</v>
      </c>
      <c r="FF9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6" s="69">
        <f>IF(HostBuild[Server Tier]="VMware",0,IF(LEFT(HostBuild[Existing Server?],3)="Yes",0,IF(OR(HostBuild[Server Type]="Sun",HostBuild[Server Type]="pSeries"),Support_Direct_Server_Sun_per_OS_2014,IF(HostBuild[Server Type]="x86",Support_Direct_Server_x86_Wintel_per_OS_2014,0))))</f>
        <v>0</v>
      </c>
      <c r="FI9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7" spans="1:165">
      <c r="A97" s="122" t="s">
        <v>53</v>
      </c>
      <c r="B97" s="36"/>
      <c r="C97" s="36"/>
      <c r="D97" s="36"/>
      <c r="E97" s="37"/>
      <c r="F97" s="37"/>
      <c r="G97" s="103"/>
      <c r="H97" s="103"/>
      <c r="I97" s="38"/>
      <c r="J97" s="37"/>
      <c r="K97" s="37"/>
      <c r="L97" s="37"/>
      <c r="M97" s="103" t="e">
        <f ca="1">IF(rngIsDate(HostBuild[CTO Acceptance]),"Y","N")</f>
        <v>#NAME?</v>
      </c>
      <c r="N97" s="123" t="s">
        <v>181</v>
      </c>
      <c r="O97" s="39"/>
      <c r="P97" s="39"/>
      <c r="Q97" s="123" t="s">
        <v>50</v>
      </c>
      <c r="R97" s="126" t="str">
        <f>IF(NOT(ISBLANK(HostBuild[Env Label])),IFERROR(VLOOKUP(HostBuild[Env Label],[1]!tEnv[#Data],3,FALSE),""),"")</f>
        <v/>
      </c>
      <c r="S97" s="104"/>
      <c r="T97" s="40"/>
      <c r="U97" s="105"/>
      <c r="V97" s="123" t="s">
        <v>381</v>
      </c>
      <c r="W97" s="123" t="s">
        <v>108</v>
      </c>
      <c r="X97" s="123" t="s">
        <v>57</v>
      </c>
      <c r="Y97" s="123" t="s">
        <v>58</v>
      </c>
      <c r="Z97" s="126" t="str">
        <f>IF(NOT(ISBLANK(HostBuild[[#This Row],[Product 
(Acronym)]])),CONCATENATE(HostBuild[[#This Row],[Type]],"-",HostBuild[[#This Row],[Product 
(Acronym)]]),"")</f>
        <v>AP-ESB</v>
      </c>
      <c r="AA97" s="106"/>
      <c r="AB97" s="106" t="s">
        <v>59</v>
      </c>
      <c r="AC97" s="41"/>
      <c r="AD97" s="42"/>
      <c r="AE97" s="42"/>
      <c r="AF97" s="43" t="s">
        <v>60</v>
      </c>
      <c r="AG97" s="124"/>
      <c r="AH97" s="107"/>
      <c r="AI97" s="124" t="s">
        <v>182</v>
      </c>
      <c r="AJ97" s="123">
        <f>IF(COUNTIF(HostBuild[Alias],HostBuild[Alias]),1/COUNTIF(HostBuild[Alias],HostBuild[Alias]),0)</f>
        <v>1</v>
      </c>
      <c r="AK97" s="124"/>
      <c r="AL97" s="124"/>
      <c r="AM97" s="44" t="s">
        <v>101</v>
      </c>
      <c r="AN97" s="45" t="str">
        <f>IF(NOT(ISBLANK(HostBuild[Server Model])),VLOOKUP(HostBuild[Server Model],[1]!ServerModelsTier[#Data],2,FALSE),"")</f>
        <v>IBM P-Series Tier 2</v>
      </c>
      <c r="AO97" s="45" t="str">
        <f>IF(NOT(ISBLANK(HostBuild[Server Model])),VLOOKUP(HostBuild[Server Model],[1]!ServerModelsTier[#Data],5,FALSE),"")</f>
        <v>pSeries</v>
      </c>
      <c r="AP97" s="44"/>
      <c r="AQ97" s="44" t="s">
        <v>102</v>
      </c>
      <c r="AR97" s="46"/>
      <c r="AS97" s="108"/>
      <c r="AT97" s="47"/>
      <c r="AU97" s="109"/>
      <c r="AV97" s="48"/>
      <c r="AW97" s="124"/>
      <c r="AX97" s="124"/>
      <c r="AY97" s="124"/>
      <c r="AZ97" s="49"/>
      <c r="BA97" s="124"/>
      <c r="BB97" s="124"/>
      <c r="BC97" s="42"/>
      <c r="BD97" s="124"/>
      <c r="BE97" s="124"/>
      <c r="BF97" s="124"/>
      <c r="BG97" s="124"/>
      <c r="BH97" s="124"/>
      <c r="BI97" s="124"/>
      <c r="BJ97" s="124"/>
      <c r="BK97"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97" s="127">
        <v>500</v>
      </c>
      <c r="BM97" s="129">
        <f>IF(ISNUMBER(HostBuild[Recommended SAN (GB)]),HostBuild[Recommended SAN (GB)])+IF(HostBuild[Additional SAN (GB)]&gt;0,CEILING(HostBuild[Additional SAN (GB)],LUN),-(CEILING(-HostBuild[Additional SAN (GB)],LUN)))</f>
        <v>505.50000000000006</v>
      </c>
      <c r="BN97" s="128"/>
      <c r="BO97" s="129">
        <f>HostBuild[SAN (GB)
NEEDED TODAY]+CEILING(HostBuild[SAN (GB)
RESERVED
DO NOT USE TO BUILD], LUN)</f>
        <v>505.50000000000006</v>
      </c>
      <c r="BP97" s="130"/>
      <c r="BQ97" s="131"/>
      <c r="BR97" s="125" t="s">
        <v>76</v>
      </c>
      <c r="BS97" s="110">
        <f>IF(HostBuild[Existing Server?]&lt;&gt;"Yes - Inside this BoM",IF(ISNUMBER(HostBuild[RAM 
(GB)]),IF(HostBuild[Existing RAM (GB)]+HostBuild[RAM 
(GB)]&gt;0,IF(HostBuild[Virtual Platform Storage Type]="NAS",110+HostBuild[Existing RAM (GB)]+HostBuild[RAM 
(GB)]*1.75,0),0),0),0)</f>
        <v>0</v>
      </c>
      <c r="BT97" s="111"/>
      <c r="BU97" s="112">
        <f>IF(ISNUMBER(HostBuild[Recommended NAS (GB)]),HostBuild[Recommended NAS (GB)])+HostBuild[Additional NAS (GB)]</f>
        <v>0</v>
      </c>
      <c r="BV97" s="50"/>
      <c r="BW97" s="50"/>
      <c r="BX97" s="133">
        <f>IFERROR((HostBuild[SAN (GB)
End-State
DO NOT USE TO BUILD]+HostBuild[SAN (GB) Shared])*25%,"")</f>
        <v>126.37500000000001</v>
      </c>
      <c r="BY97" s="113">
        <f>IFERROR(HostBuild[Archive
Full (GB)]*15%,"")</f>
        <v>18.956250000000001</v>
      </c>
      <c r="BZ97" s="51"/>
      <c r="CA97" s="51"/>
      <c r="CB97" s="52"/>
      <c r="CC97" s="53"/>
      <c r="CD97" s="52"/>
      <c r="CE97" s="54"/>
      <c r="CF97" s="128"/>
      <c r="CG97" s="114"/>
      <c r="CH97" s="55"/>
      <c r="CI97" s="56"/>
      <c r="CJ97" s="57"/>
      <c r="CK97" s="58"/>
      <c r="CL97" s="59">
        <f>IFERROR(IF(FIND(CL$1,$W97)&gt;0,IF(INDEX([1]!Product_Pricing_Table[#Data],MATCH(CL$1,Products,0),2)="Cores",IF(HostBuild[Use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7" s="59">
        <f>IFERROR(IF(FIND(CM$1,$W97)&gt;0,IF(INDEX([1]!Product_Pricing_Table[#Data],MATCH(CM$1,Products,0),2)="Cores",IF(HostBuild[Use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7" s="59">
        <f>IFERROR(IF(FIND(CN$1,$W97)&gt;0,IF(INDEX([1]!Product_Pricing_Table[#Data],MATCH(CN$1,Products,0),2)="Cores",IF(HostBuild[Use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7" s="59">
        <f>IFERROR(IF(FIND(CO$1,$W97)&gt;0,IF(INDEX([1]!Product_Pricing_Table[#Data],MATCH(CO$1,Products,0),2)="Cores",IF(HostBuild[Use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7" s="59">
        <f>IFERROR(IF(FIND(CP$1,$W97)&gt;0,IF(INDEX([1]!Product_Pricing_Table[#Data],MATCH(CP$1,Products,0),2)="Cores",IF(HostBuild[Use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7" s="59">
        <f>IFERROR(IF(FIND(CQ$1,$W97)&gt;0,IF(INDEX([1]!Product_Pricing_Table[#Data],MATCH(CQ$1,Products,0),2)="Cores",IF(HostBuild[Use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7" s="59">
        <f>IFERROR(IF(FIND(CR$1,$W97)&gt;0,IF(INDEX([1]!Product_Pricing_Table[#Data],MATCH(CR$1,Products,0),2)="Cores",IF(HostBuild[Use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7" s="59">
        <f>IFERROR(IF(FIND(CS$1,$W97)&gt;0,IF(INDEX([1]!Product_Pricing_Table[#Data],MATCH(CS$1,Products,0),2)="Cores",IF(HostBuild[Use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7" s="59">
        <f>IFERROR(IF(FIND(CT$1,$W97)&gt;0,IF(INDEX([1]!Product_Pricing_Table[#Data],MATCH(CT$1,Products,0),2)="Cores",IF(HostBuild[Use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7" s="59">
        <f>IFERROR(IF(FIND(CU$1,$W97)&gt;0,IF(INDEX([1]!Product_Pricing_Table[#Data],MATCH(CU$1,Products,0),2)="Cores",IF(HostBuild[Use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7" s="59">
        <f>IFERROR(IF(FIND(CV$1,$W97)&gt;0,IF(INDEX([1]!Product_Pricing_Table[#Data],MATCH(CV$1,Products,0),2)="Cores",IF(HostBuild[Use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7" s="59">
        <f>IFERROR(IF(FIND(CW$1,$W97)&gt;0,IF(INDEX([1]!Product_Pricing_Table[#Data],MATCH(CW$1,Products,0),2)="Cores",IF(HostBuild[Use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7" s="59">
        <f>IFERROR(IF(FIND(CX$1,$W97)&gt;0,IF(INDEX([1]!Product_Pricing_Table[#Data],MATCH(CX$1,Products,0),2)="Cores",IF(HostBuild[Use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7" s="59">
        <f>IFERROR(IF(FIND(CY$1,$W97)&gt;0,IF(INDEX([1]!Product_Pricing_Table[#Data],MATCH(CY$1,Products,0),2)="Cores",IF(HostBuild[Use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7" s="59">
        <f>IFERROR(IF(FIND(CZ$1,$W97)&gt;0,IF(INDEX([1]!Product_Pricing_Table[#Data],MATCH(CZ$1,Products,0),2)="Cores",IF(HostBuild[Use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7" s="59">
        <f>IFERROR(IF(FIND(DA$1,$W97)&gt;0,IF(INDEX([1]!Product_Pricing_Table[#Data],MATCH(DA$1,Products,0),2)="Cores",IF(HostBuild[Use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7" s="59">
        <f>IFERROR(IF(FIND(DB$1,$W97)&gt;0,IF(INDEX([1]!Product_Pricing_Table[#Data],MATCH(DB$1,Products,0),2)="Cores",IF(HostBuild[Use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7" s="59">
        <f>IFERROR(IF(FIND(DC$1,$W97)&gt;0,IF(INDEX([1]!Product_Pricing_Table[#Data],MATCH(DC$1,Products,0),2)="Cores",IF(HostBuild[Use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7" s="59">
        <f>IFERROR(IF(FIND(DD$1,$W97)&gt;0,IF(INDEX([1]!Product_Pricing_Table[#Data],MATCH(DD$1,Products,0),2)="Cores",IF(HostBuild[Use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7" s="59">
        <f>IFERROR(IF(FIND(DE$1,$W97)&gt;0,IF(INDEX([1]!Product_Pricing_Table[#Data],MATCH(DE$1,Products,0),2)="Cores",IF(HostBuild[Use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7" s="60">
        <f>IFERROR(IF(FIND(DF$1,$W97)&gt;0,IF(INDEX([1]!Product_Pricing_Table[#Data],MATCH(DF$1,Products,0),2)="Cores",IF(HostBuild[Use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7" s="60">
        <f>IFERROR(IF(FIND(DG$1,$W97)&gt;0,IF(INDEX([1]!Product_Pricing_Table[#Data],MATCH(DG$1,Products,0),2)="Cores",IF(HostBuild[Use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7" s="59">
        <f>IFERROR(IF(FIND(DH$1,$W97)&gt;0,IF(INDEX([1]!Product_Pricing_Table[#Data],MATCH(DH$1,Products,0),2)="Cores",IF(HostBuild[Use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7" s="60">
        <f>IFERROR(IF(FIND(DI$1,$W97)&gt;0,IF(INDEX([1]!Product_Pricing_Table[#Data],MATCH(DI$1,Products,0),2)="Cores",IF(HostBuild[Use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7" s="59">
        <f>IFERROR(IF(FIND(DJ$1,$W97)&gt;0,IF(INDEX([1]!Product_Pricing_Table[#Data],MATCH(DJ$1,Products,0),2)="Cores",IF(HostBuild[Use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7" s="59">
        <f>IFERROR(IF(FIND(DK$1,$W97)&gt;0,IF(INDEX([1]!Product_Pricing_Table[#Data],MATCH(DK$1,Products,0),2)="Cores",IF(HostBuild[Use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7" s="59">
        <f>IFERROR(IF(FIND(DL$1,$W97)&gt;0,IF(INDEX([1]!Product_Pricing_Table[#Data],MATCH(DL$1,Products,0),2)="Cores",IF(HostBuild[Use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7" s="59">
        <f>IFERROR(IF(FIND(DM$1,$W97)&gt;0,IF(INDEX([1]!Product_Pricing_Table[#Data],MATCH(DM$1,Products,0),2)="Cores",IF(HostBuild[Use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7" s="59">
        <f>IFERROR(IF(FIND(DN$1,$W97)&gt;0,IF(INDEX([1]!Product_Pricing_Table[#Data],MATCH(DN$1,Products,0),2)="Cores",IF(HostBuild[Use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7" s="59">
        <f>IFERROR(IF(FIND(DO$1,$W97)&gt;0,IF(INDEX([1]!Product_Pricing_Table[#Data],MATCH(DO$1,Products,0),2)="Cores",IF(HostBuild[Use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7" s="59">
        <f>IFERROR(IF(FIND(DP$1,$W97)&gt;0,IF(INDEX([1]!Product_Pricing_Table[#Data],MATCH(DP$1,Products,0),2)="Cores",IF(HostBuild[Use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7" s="59">
        <f>IFERROR(IF(FIND(DQ$1,$W97)&gt;0,IF(INDEX([1]!Product_Pricing_Table[#Data],MATCH(DQ$1,Products,0),2)="Cores",IF(HostBuild[Use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7" s="59">
        <f>IFERROR(IF(FIND(DR$1,$W97)&gt;0,IF(INDEX([1]!Product_Pricing_Table[#Data],MATCH(DR$1,Products,0),2)="Cores",IF(HostBuild[Use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7" s="59">
        <f>IFERROR(IF(FIND(DS$1,$W97)&gt;0,IF(INDEX([1]!Product_Pricing_Table[#Data],MATCH(DS$1,Products,0),2)="Cores",IF(HostBuild[Use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7" s="59">
        <f>IFERROR(IF(FIND(DT$1,$W97)&gt;0,IF(INDEX([1]!Product_Pricing_Table[#Data],MATCH(DT$1,Products,0),2)="Cores",IF(HostBuild[Use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7" s="59">
        <f>IFERROR(IF(FIND(DU$1,$W97)&gt;0,IF(INDEX([1]!Product_Pricing_Table[#Data],MATCH(DU$1,Products,0),2)="Cores",IF(HostBuild[Use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7" s="59">
        <f>IFERROR(IF(FIND(DV$1,$W97)&gt;0,IF(INDEX([1]!Product_Pricing_Table[#Data],MATCH(DV$1,Products,0),2)="Cores",IF(HostBuild[Use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7" s="59">
        <f>IFERROR(IF(FIND(DW$1,$W97)&gt;0,IF(INDEX([1]!Product_Pricing_Table[#Data],MATCH(DW$1,Products,0),2)="Cores",IF(HostBuild[Use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7" s="59">
        <f>IFERROR(IF(FIND(DX$1,$W97)&gt;0,IF(INDEX([1]!Product_Pricing_Table[#Data],MATCH(DX$1,Products,0),2)="Cores",IF(HostBuild[Use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7" s="59">
        <f>IFERROR(IF(FIND(DY$1,$W97)&gt;0,IF(INDEX([1]!Product_Pricing_Table[#Data],MATCH(DY$1,Products,0),2)="Cores",IF(HostBuild[Use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7" s="59">
        <f>IFERROR(IF(FIND(DZ$1,$W97)&gt;0,IF(INDEX([1]!Product_Pricing_Table[#Data],MATCH(DZ$1,Products,0),2)="Cores",IF(HostBuild[Use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7" s="59">
        <f>IFERROR(IF(FIND(EA$1,$W97)&gt;0,IF(INDEX([1]!Product_Pricing_Table[#Data],MATCH(EA$1,Products,0),2)="Cores",IF(HostBuild[Use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7" s="59">
        <f>IFERROR(IF(FIND(EB$1,$W97)&gt;0,IF(INDEX([1]!Product_Pricing_Table[#Data],MATCH(EB$1,Products,0),2)="Cores",IF(HostBuild[Use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7" s="60">
        <f>IFERROR(IF(FIND(EC$1,$W97)&gt;0,IF(INDEX([1]!Product_Pricing_Table[#Data],MATCH(EC$1,Products,0),2)="Cores",IF(HostBuild[Use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7" s="59">
        <f>IFERROR(IF(FIND(ED$1,$W97)&gt;0,IF(INDEX([1]!Product_Pricing_Table[#Data],MATCH(ED$1,Products,0),2)="Cores",IF(HostBuild[Use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7" s="59">
        <f>IFERROR(IF(FIND(EE$1,$W97)&gt;0,IF(INDEX([1]!Product_Pricing_Table[#Data],MATCH(EE$1,Products,0),2)="Cores",IF(HostBuild[Use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7" s="59">
        <f>IFERROR(IF(FIND(EF$1,$W97)&gt;0,IF(INDEX([1]!Product_Pricing_Table[#Data],MATCH(EF$1,Products,0),2)="Cores",IF(HostBuild[Use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7" s="59">
        <f>IFERROR(IF(FIND(EG$1,$W97)&gt;0,IF(INDEX([1]!Product_Pricing_Table[#Data],MATCH(EG$1,Products,0),2)="Cores",IF(HostBuild[Use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7" s="59">
        <f>IFERROR(IF(FIND(EH$1,$W97)&gt;0,IF(INDEX([1]!Product_Pricing_Table[#Data],MATCH(EH$1,Products,0),2)="Cores",IF(HostBuild[Use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7" s="59">
        <f>IFERROR(IF(FIND(EI$1,$W97)&gt;0,IF(INDEX([1]!Product_Pricing_Table[#Data],MATCH(EI$1,Products,0),2)="Cores",IF(HostBuild[Use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7" s="59">
        <f>IFERROR(IF(FIND(EJ$1,$W97)&gt;0,IF(INDEX([1]!Product_Pricing_Table[#Data],MATCH(EJ$1,Products,0),2)="Cores",IF(HostBuild[Use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7" s="60">
        <f>IFERROR(IF(FIND(EK$1,$W97)&gt;0,IF(INDEX([1]!Product_Pricing_Table[#Data],MATCH(EK$1,Products,0),2)="Cores",IF(HostBuild[Use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7" s="61"/>
      <c r="EM97" s="62">
        <v>0</v>
      </c>
      <c r="EN97" s="63">
        <v>0</v>
      </c>
      <c r="EO97"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9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227.47500000000002</v>
      </c>
      <c r="EQ97" s="132">
        <f>(HostBuild[Archive
Full (GB)]+HostBuild[Archive
Incr (GB)])*Storage_DC_Dist_Tape_2014</f>
        <v>50.865937500000001</v>
      </c>
      <c r="ER97" s="132">
        <f>IF(ISNUMBER(HostBuild[Server HW Costs
(Monthly)]),SUM(HostBuild[[#This Row],[Server HW Costs
(Monthly)]:[Tape Costs
(Monthly)]]),0)</f>
        <v>278.3409375</v>
      </c>
      <c r="ES97" s="65">
        <f>HostBuild[Software Costs
'[Year 1']
(Monthly)]+HostBuild[Total Hardware Costs
(Monthly)]</f>
        <v>278.3409375</v>
      </c>
      <c r="ET97" s="65">
        <f>IFERROR(IF(FIND("Safenet",HostBuild[Server Model]),Safenet_PSE_PL600_Maint,0),0)+IFERROR(IF(FIND("XI52",HostBuild[Server Model]),IBM_DIA_XI52_Maint,0),0)+HostBuild[Software Costs
'[After Year 1']
(Monthly)]+HostBuild[Total Hardware Costs
(Monthly)]</f>
        <v>278.3409375</v>
      </c>
      <c r="EU97" s="66">
        <f>SUM(HostBuild[[#This Row],[Server Cost Breakdown]:[Network Cost]])</f>
        <v>0</v>
      </c>
      <c r="EV97" s="67">
        <f>IF(HostBuild[Existing Server?]="Yes - Inside this BoM",0,SUMIF(HostBuild[Alias],HostBuild[Alias],HostBuild[CPU])+SUMIF(HostBuild[Alias],HostBuild[Alias],HostBuild[Existing CPUs]))</f>
        <v>0</v>
      </c>
      <c r="EW97" s="67">
        <f>IF(HostBuild[Existing Server?]="Yes - Inside this BoM",0,SUMIF(HostBuild[Alias],HostBuild[Alias],HostBuild[Cores 
(Licensed Units)])+SUMIF(HostBuild[Alias],HostBuild[Alias],HostBuild[Existing Cores]))</f>
        <v>0</v>
      </c>
      <c r="EX97" s="67">
        <f>IF(HostBuild[Existing Server?]="Yes - Inside this BoM",0,SUMIF(HostBuild[Alias],HostBuild[Alias],HostBuild[RAM 
(GB)])+SUMIF(HostBuild[Alias],HostBuild[Alias],HostBuild[Existing RAM (GB)]))</f>
        <v>0</v>
      </c>
      <c r="EY9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7" s="66">
        <f>IF(ISBLANK(HostBuild[Server Model]),0,IF(HostBuild[Server Tier]="VMware",0,VLOOKUP(HostBuild[Server Tier],[1]!ServerTierRates[#Data],2,0))*HostBuild[CPU]*IF(AND(HostBuild[Server Type]="pSeries",HostBuild[Virtual Platform Storage Type]="Cloud-SAN"),0.25,1))</f>
        <v>0</v>
      </c>
      <c r="FD97" s="66">
        <f>0</f>
        <v>0</v>
      </c>
      <c r="FE97" s="66">
        <f>IF(HostBuild[Server Type]="VMware",HostBuild[RAM 
(GB)]*IF(ISERROR(FIND("DevCloud", HostBuild[Server Model])&gt;0),vRAM_per_vCPU_2014_Monthly,vRAM_per_vCPU_2014_Daily*30),0)</f>
        <v>0</v>
      </c>
      <c r="FF9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7" s="69">
        <f>IF(HostBuild[Server Tier]="VMware",0,IF(LEFT(HostBuild[Existing Server?],3)="Yes",0,IF(OR(HostBuild[Server Type]="Sun",HostBuild[Server Type]="pSeries"),Support_Direct_Server_Sun_per_OS_2014,IF(HostBuild[Server Type]="x86",Support_Direct_Server_x86_Wintel_per_OS_2014,0))))</f>
        <v>0</v>
      </c>
      <c r="FI9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8" spans="1:165">
      <c r="A98" s="122" t="s">
        <v>53</v>
      </c>
      <c r="B98" s="36"/>
      <c r="C98" s="36"/>
      <c r="D98" s="36"/>
      <c r="E98" s="37"/>
      <c r="F98" s="37"/>
      <c r="G98" s="103"/>
      <c r="H98" s="103"/>
      <c r="I98" s="38"/>
      <c r="J98" s="37"/>
      <c r="K98" s="37"/>
      <c r="L98" s="37"/>
      <c r="M98" s="103" t="e">
        <f ca="1">IF(rngIsDate(HostBuild[CTO Acceptance]),"Y","N")</f>
        <v>#NAME?</v>
      </c>
      <c r="N98" s="123" t="s">
        <v>181</v>
      </c>
      <c r="O98" s="39"/>
      <c r="P98" s="39"/>
      <c r="Q98" s="123" t="s">
        <v>50</v>
      </c>
      <c r="R98" s="126" t="str">
        <f>IF(NOT(ISBLANK(HostBuild[Env Label])),IFERROR(VLOOKUP(HostBuild[Env Label],[1]!tEnv[#Data],3,FALSE),""),"")</f>
        <v/>
      </c>
      <c r="S98" s="104"/>
      <c r="T98" s="40"/>
      <c r="U98" s="105"/>
      <c r="V98" s="123" t="s">
        <v>382</v>
      </c>
      <c r="W98" s="123" t="s">
        <v>183</v>
      </c>
      <c r="X98" s="123" t="s">
        <v>57</v>
      </c>
      <c r="Y98" s="123" t="s">
        <v>58</v>
      </c>
      <c r="Z98" s="126" t="str">
        <f>IF(NOT(ISBLANK(HostBuild[[#This Row],[Product 
(Acronym)]])),CONCATENATE(HostBuild[[#This Row],[Type]],"-",HostBuild[[#This Row],[Product 
(Acronym)]]),"")</f>
        <v>AP-ESB</v>
      </c>
      <c r="AA98" s="106"/>
      <c r="AB98" s="106" t="s">
        <v>59</v>
      </c>
      <c r="AC98" s="41"/>
      <c r="AD98" s="42"/>
      <c r="AE98" s="42"/>
      <c r="AF98" s="43" t="s">
        <v>60</v>
      </c>
      <c r="AG98" s="124"/>
      <c r="AH98" s="107"/>
      <c r="AI98" s="124" t="s">
        <v>184</v>
      </c>
      <c r="AJ98" s="123">
        <f>IF(COUNTIF(HostBuild[Alias],HostBuild[Alias]),1/COUNTIF(HostBuild[Alias],HostBuild[Alias]),0)</f>
        <v>1</v>
      </c>
      <c r="AK98" s="124"/>
      <c r="AL98" s="124"/>
      <c r="AM98" s="44" t="s">
        <v>62</v>
      </c>
      <c r="AN98" s="45" t="str">
        <f>IF(NOT(ISBLANK(HostBuild[Server Model])),VLOOKUP(HostBuild[Server Model],[1]!ServerModelsTier[#Data],2,FALSE),"")</f>
        <v>x86 Tier 3</v>
      </c>
      <c r="AO98" s="45" t="str">
        <f>IF(NOT(ISBLANK(HostBuild[Server Model])),VLOOKUP(HostBuild[Server Model],[1]!ServerModelsTier[#Data],5,FALSE),"")</f>
        <v>x86</v>
      </c>
      <c r="AP98" s="44"/>
      <c r="AQ98" s="44" t="s">
        <v>63</v>
      </c>
      <c r="AR98" s="46"/>
      <c r="AS98" s="108"/>
      <c r="AT98" s="47"/>
      <c r="AU98" s="109" t="str">
        <f>IF(IFERROR(FIND("P-Series",HostBuild[Server Tier]),0),CEILING((HostBuild[Existing CPUs]+HostBuild[CPU])*16,8),"")</f>
        <v/>
      </c>
      <c r="AV98" s="48"/>
      <c r="AW98" s="124"/>
      <c r="AX98" s="124"/>
      <c r="AY98" s="124"/>
      <c r="AZ98" s="49"/>
      <c r="BA98" s="124"/>
      <c r="BB98" s="124"/>
      <c r="BC98" s="42"/>
      <c r="BD98" s="124"/>
      <c r="BE98" s="124"/>
      <c r="BF98" s="124"/>
      <c r="BG98" s="124"/>
      <c r="BH98" s="124"/>
      <c r="BI98" s="124"/>
      <c r="BJ98" s="124"/>
      <c r="BK98"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98" s="127">
        <v>250</v>
      </c>
      <c r="BM98" s="129">
        <f>IF(ISNUMBER(HostBuild[Recommended SAN (GB)]),HostBuild[Recommended SAN (GB)])+IF(HostBuild[Additional SAN (GB)]&gt;0,CEILING(HostBuild[Additional SAN (GB)],LUN),-(CEILING(-HostBuild[Additional SAN (GB)],LUN)))</f>
        <v>269.60000000000002</v>
      </c>
      <c r="BN98" s="128"/>
      <c r="BO98" s="129">
        <f>HostBuild[SAN (GB)
NEEDED TODAY]+CEILING(HostBuild[SAN (GB)
RESERVED
DO NOT USE TO BUILD], LUN)</f>
        <v>269.60000000000002</v>
      </c>
      <c r="BP98" s="130"/>
      <c r="BQ98" s="131"/>
      <c r="BR98" s="125" t="s">
        <v>76</v>
      </c>
      <c r="BS98" s="110">
        <f>IF(HostBuild[Existing Server?]&lt;&gt;"Yes - Inside this BoM",IF(ISNUMBER(HostBuild[RAM 
(GB)]),IF(HostBuild[Existing RAM (GB)]+HostBuild[RAM 
(GB)]&gt;0,IF(HostBuild[Virtual Platform Storage Type]="NAS",110+HostBuild[Existing RAM (GB)]+HostBuild[RAM 
(GB)]*1.75,0),0),0),0)</f>
        <v>0</v>
      </c>
      <c r="BT98" s="111"/>
      <c r="BU98" s="112">
        <f>IF(ISNUMBER(HostBuild[Recommended NAS (GB)]),HostBuild[Recommended NAS (GB)])+HostBuild[Additional NAS (GB)]</f>
        <v>0</v>
      </c>
      <c r="BV98" s="50"/>
      <c r="BW98" s="50"/>
      <c r="BX98" s="133">
        <f>IFERROR((HostBuild[SAN (GB)
End-State
DO NOT USE TO BUILD]+HostBuild[SAN (GB) Shared])*25%,"")</f>
        <v>67.400000000000006</v>
      </c>
      <c r="BY98" s="113">
        <f>IFERROR(HostBuild[Archive
Full (GB)]*15%,"")</f>
        <v>10.110000000000001</v>
      </c>
      <c r="BZ98" s="51"/>
      <c r="CA98" s="51"/>
      <c r="CB98" s="52"/>
      <c r="CC98" s="53"/>
      <c r="CD98" s="52"/>
      <c r="CE98" s="54"/>
      <c r="CF98" s="128"/>
      <c r="CG98" s="114"/>
      <c r="CH98" s="55"/>
      <c r="CI98" s="56"/>
      <c r="CJ98" s="57"/>
      <c r="CK98" s="58"/>
      <c r="CL98" s="59">
        <f>IFERROR(IF(FIND(CL$1,$W98)&gt;0,IF(INDEX([1]!Product_Pricing_Table[#Data],MATCH(CL$1,Products,0),2)="Cores",IF(HostBuild[Use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8" s="59">
        <f>IFERROR(IF(FIND(CM$1,$W98)&gt;0,IF(INDEX([1]!Product_Pricing_Table[#Data],MATCH(CM$1,Products,0),2)="Cores",IF(HostBuild[Use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8" s="59">
        <f>IFERROR(IF(FIND(CN$1,$W98)&gt;0,IF(INDEX([1]!Product_Pricing_Table[#Data],MATCH(CN$1,Products,0),2)="Cores",IF(HostBuild[Use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8" s="59">
        <f>IFERROR(IF(FIND(CO$1,$W98)&gt;0,IF(INDEX([1]!Product_Pricing_Table[#Data],MATCH(CO$1,Products,0),2)="Cores",IF(HostBuild[Use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8" s="59">
        <f>IFERROR(IF(FIND(CP$1,$W98)&gt;0,IF(INDEX([1]!Product_Pricing_Table[#Data],MATCH(CP$1,Products,0),2)="Cores",IF(HostBuild[Use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8" s="59">
        <f>IFERROR(IF(FIND(CQ$1,$W98)&gt;0,IF(INDEX([1]!Product_Pricing_Table[#Data],MATCH(CQ$1,Products,0),2)="Cores",IF(HostBuild[Use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8" s="59">
        <f>IFERROR(IF(FIND(CR$1,$W98)&gt;0,IF(INDEX([1]!Product_Pricing_Table[#Data],MATCH(CR$1,Products,0),2)="Cores",IF(HostBuild[Use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8" s="59">
        <f>IFERROR(IF(FIND(CS$1,$W98)&gt;0,IF(INDEX([1]!Product_Pricing_Table[#Data],MATCH(CS$1,Products,0),2)="Cores",IF(HostBuild[Use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8" s="59">
        <f>IFERROR(IF(FIND(CT$1,$W98)&gt;0,IF(INDEX([1]!Product_Pricing_Table[#Data],MATCH(CT$1,Products,0),2)="Cores",IF(HostBuild[Use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8" s="59">
        <f>IFERROR(IF(FIND(CU$1,$W98)&gt;0,IF(INDEX([1]!Product_Pricing_Table[#Data],MATCH(CU$1,Products,0),2)="Cores",IF(HostBuild[Use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8" s="59">
        <f>IFERROR(IF(FIND(CV$1,$W98)&gt;0,IF(INDEX([1]!Product_Pricing_Table[#Data],MATCH(CV$1,Products,0),2)="Cores",IF(HostBuild[Use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8" s="59">
        <f>IFERROR(IF(FIND(CW$1,$W98)&gt;0,IF(INDEX([1]!Product_Pricing_Table[#Data],MATCH(CW$1,Products,0),2)="Cores",IF(HostBuild[Use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8" s="59">
        <f>IFERROR(IF(FIND(CX$1,$W98)&gt;0,IF(INDEX([1]!Product_Pricing_Table[#Data],MATCH(CX$1,Products,0),2)="Cores",IF(HostBuild[Use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8" s="59">
        <f>IFERROR(IF(FIND(CY$1,$W98)&gt;0,IF(INDEX([1]!Product_Pricing_Table[#Data],MATCH(CY$1,Products,0),2)="Cores",IF(HostBuild[Use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8" s="59">
        <f>IFERROR(IF(FIND(CZ$1,$W98)&gt;0,IF(INDEX([1]!Product_Pricing_Table[#Data],MATCH(CZ$1,Products,0),2)="Cores",IF(HostBuild[Use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8" s="59">
        <f>IFERROR(IF(FIND(DA$1,$W98)&gt;0,IF(INDEX([1]!Product_Pricing_Table[#Data],MATCH(DA$1,Products,0),2)="Cores",IF(HostBuild[Use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8" s="59">
        <f>IFERROR(IF(FIND(DB$1,$W98)&gt;0,IF(INDEX([1]!Product_Pricing_Table[#Data],MATCH(DB$1,Products,0),2)="Cores",IF(HostBuild[Use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8" s="59">
        <f>IFERROR(IF(FIND(DC$1,$W98)&gt;0,IF(INDEX([1]!Product_Pricing_Table[#Data],MATCH(DC$1,Products,0),2)="Cores",IF(HostBuild[Use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8" s="59">
        <f>IFERROR(IF(FIND(DD$1,$W98)&gt;0,IF(INDEX([1]!Product_Pricing_Table[#Data],MATCH(DD$1,Products,0),2)="Cores",IF(HostBuild[Use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8" s="59">
        <f>IFERROR(IF(FIND(DE$1,$W98)&gt;0,IF(INDEX([1]!Product_Pricing_Table[#Data],MATCH(DE$1,Products,0),2)="Cores",IF(HostBuild[Use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8" s="60">
        <f>IFERROR(IF(FIND(DF$1,$W98)&gt;0,IF(INDEX([1]!Product_Pricing_Table[#Data],MATCH(DF$1,Products,0),2)="Cores",IF(HostBuild[Use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8" s="60">
        <f>IFERROR(IF(FIND(DG$1,$W98)&gt;0,IF(INDEX([1]!Product_Pricing_Table[#Data],MATCH(DG$1,Products,0),2)="Cores",IF(HostBuild[Use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8" s="59">
        <f>IFERROR(IF(FIND(DH$1,$W98)&gt;0,IF(INDEX([1]!Product_Pricing_Table[#Data],MATCH(DH$1,Products,0),2)="Cores",IF(HostBuild[Use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8" s="60">
        <f>IFERROR(IF(FIND(DI$1,$W98)&gt;0,IF(INDEX([1]!Product_Pricing_Table[#Data],MATCH(DI$1,Products,0),2)="Cores",IF(HostBuild[Use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8" s="59">
        <f>IFERROR(IF(FIND(DJ$1,$W98)&gt;0,IF(INDEX([1]!Product_Pricing_Table[#Data],MATCH(DJ$1,Products,0),2)="Cores",IF(HostBuild[Use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8" s="59">
        <f>IFERROR(IF(FIND(DK$1,$W98)&gt;0,IF(INDEX([1]!Product_Pricing_Table[#Data],MATCH(DK$1,Products,0),2)="Cores",IF(HostBuild[Use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8" s="59">
        <f>IFERROR(IF(FIND(DL$1,$W98)&gt;0,IF(INDEX([1]!Product_Pricing_Table[#Data],MATCH(DL$1,Products,0),2)="Cores",IF(HostBuild[Use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8" s="59">
        <f>IFERROR(IF(FIND(DM$1,$W98)&gt;0,IF(INDEX([1]!Product_Pricing_Table[#Data],MATCH(DM$1,Products,0),2)="Cores",IF(HostBuild[Use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8" s="59">
        <f>IFERROR(IF(FIND(DN$1,$W98)&gt;0,IF(INDEX([1]!Product_Pricing_Table[#Data],MATCH(DN$1,Products,0),2)="Cores",IF(HostBuild[Use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8" s="59">
        <f>IFERROR(IF(FIND(DO$1,$W98)&gt;0,IF(INDEX([1]!Product_Pricing_Table[#Data],MATCH(DO$1,Products,0),2)="Cores",IF(HostBuild[Use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8" s="59">
        <f>IFERROR(IF(FIND(DP$1,$W98)&gt;0,IF(INDEX([1]!Product_Pricing_Table[#Data],MATCH(DP$1,Products,0),2)="Cores",IF(HostBuild[Use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8" s="59">
        <f>IFERROR(IF(FIND(DQ$1,$W98)&gt;0,IF(INDEX([1]!Product_Pricing_Table[#Data],MATCH(DQ$1,Products,0),2)="Cores",IF(HostBuild[Use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8" s="59">
        <f>IFERROR(IF(FIND(DR$1,$W98)&gt;0,IF(INDEX([1]!Product_Pricing_Table[#Data],MATCH(DR$1,Products,0),2)="Cores",IF(HostBuild[Use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8" s="59">
        <f>IFERROR(IF(FIND(DS$1,$W98)&gt;0,IF(INDEX([1]!Product_Pricing_Table[#Data],MATCH(DS$1,Products,0),2)="Cores",IF(HostBuild[Use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8" s="59">
        <f>IFERROR(IF(FIND(DT$1,$W98)&gt;0,IF(INDEX([1]!Product_Pricing_Table[#Data],MATCH(DT$1,Products,0),2)="Cores",IF(HostBuild[Use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8" s="59">
        <f>IFERROR(IF(FIND(DU$1,$W98)&gt;0,IF(INDEX([1]!Product_Pricing_Table[#Data],MATCH(DU$1,Products,0),2)="Cores",IF(HostBuild[Use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8" s="59">
        <f>IFERROR(IF(FIND(DV$1,$W98)&gt;0,IF(INDEX([1]!Product_Pricing_Table[#Data],MATCH(DV$1,Products,0),2)="Cores",IF(HostBuild[Use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8" s="59">
        <f>IFERROR(IF(FIND(DW$1,$W98)&gt;0,IF(INDEX([1]!Product_Pricing_Table[#Data],MATCH(DW$1,Products,0),2)="Cores",IF(HostBuild[Use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8" s="59">
        <f>IFERROR(IF(FIND(DX$1,$W98)&gt;0,IF(INDEX([1]!Product_Pricing_Table[#Data],MATCH(DX$1,Products,0),2)="Cores",IF(HostBuild[Use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8" s="59">
        <f>IFERROR(IF(FIND(DY$1,$W98)&gt;0,IF(INDEX([1]!Product_Pricing_Table[#Data],MATCH(DY$1,Products,0),2)="Cores",IF(HostBuild[Use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8" s="59">
        <f>IFERROR(IF(FIND(DZ$1,$W98)&gt;0,IF(INDEX([1]!Product_Pricing_Table[#Data],MATCH(DZ$1,Products,0),2)="Cores",IF(HostBuild[Use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8" s="59">
        <f>IFERROR(IF(FIND(EA$1,$W98)&gt;0,IF(INDEX([1]!Product_Pricing_Table[#Data],MATCH(EA$1,Products,0),2)="Cores",IF(HostBuild[Use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8" s="59">
        <f>IFERROR(IF(FIND(EB$1,$W98)&gt;0,IF(INDEX([1]!Product_Pricing_Table[#Data],MATCH(EB$1,Products,0),2)="Cores",IF(HostBuild[Use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8" s="60">
        <f>IFERROR(IF(FIND(EC$1,$W98)&gt;0,IF(INDEX([1]!Product_Pricing_Table[#Data],MATCH(EC$1,Products,0),2)="Cores",IF(HostBuild[Use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8" s="59">
        <f>IFERROR(IF(FIND(ED$1,$W98)&gt;0,IF(INDEX([1]!Product_Pricing_Table[#Data],MATCH(ED$1,Products,0),2)="Cores",IF(HostBuild[Use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8" s="59">
        <f>IFERROR(IF(FIND(EE$1,$W98)&gt;0,IF(INDEX([1]!Product_Pricing_Table[#Data],MATCH(EE$1,Products,0),2)="Cores",IF(HostBuild[Use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8" s="59">
        <f>IFERROR(IF(FIND(EF$1,$W98)&gt;0,IF(INDEX([1]!Product_Pricing_Table[#Data],MATCH(EF$1,Products,0),2)="Cores",IF(HostBuild[Use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8" s="59">
        <f>IFERROR(IF(FIND(EG$1,$W98)&gt;0,IF(INDEX([1]!Product_Pricing_Table[#Data],MATCH(EG$1,Products,0),2)="Cores",IF(HostBuild[Use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8" s="59">
        <f>IFERROR(IF(FIND(EH$1,$W98)&gt;0,IF(INDEX([1]!Product_Pricing_Table[#Data],MATCH(EH$1,Products,0),2)="Cores",IF(HostBuild[Use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8" s="59">
        <f>IFERROR(IF(FIND(EI$1,$W98)&gt;0,IF(INDEX([1]!Product_Pricing_Table[#Data],MATCH(EI$1,Products,0),2)="Cores",IF(HostBuild[Use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8" s="59">
        <f>IFERROR(IF(FIND(EJ$1,$W98)&gt;0,IF(INDEX([1]!Product_Pricing_Table[#Data],MATCH(EJ$1,Products,0),2)="Cores",IF(HostBuild[Use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8" s="60">
        <f>IFERROR(IF(FIND(EK$1,$W98)&gt;0,IF(INDEX([1]!Product_Pricing_Table[#Data],MATCH(EK$1,Products,0),2)="Cores",IF(HostBuild[Use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8" s="61"/>
      <c r="EM98" s="62">
        <v>3000</v>
      </c>
      <c r="EN98" s="63">
        <v>420</v>
      </c>
      <c r="EO98"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9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121.32000000000001</v>
      </c>
      <c r="EQ98" s="132">
        <f>(HostBuild[Archive
Full (GB)]+HostBuild[Archive
Incr (GB)])*Storage_DC_Dist_Tape_2014</f>
        <v>27.128499999999999</v>
      </c>
      <c r="ER98" s="132">
        <f>IF(ISNUMBER(HostBuild[Server HW Costs
(Monthly)]),SUM(HostBuild[[#This Row],[Server HW Costs
(Monthly)]:[Tape Costs
(Monthly)]]),0)</f>
        <v>148.4485</v>
      </c>
      <c r="ES98" s="65">
        <f>HostBuild[Software Costs
'[Year 1']
(Monthly)]+HostBuild[Total Hardware Costs
(Monthly)]</f>
        <v>3148.4485</v>
      </c>
      <c r="ET98" s="65">
        <f>IFERROR(IF(FIND("Safenet",HostBuild[Server Model]),Safenet_PSE_PL600_Maint,0),0)+IFERROR(IF(FIND("XI52",HostBuild[Server Model]),IBM_DIA_XI52_Maint,0),0)+HostBuild[Software Costs
'[After Year 1']
(Monthly)]+HostBuild[Total Hardware Costs
(Monthly)]</f>
        <v>568.44849999999997</v>
      </c>
      <c r="EU98" s="66">
        <f>SUM(HostBuild[[#This Row],[Server Cost Breakdown]:[Network Cost]])</f>
        <v>0</v>
      </c>
      <c r="EV98" s="67">
        <f>IF(HostBuild[Existing Server?]="Yes - Inside this BoM",0,SUMIF(HostBuild[Alias],HostBuild[Alias],HostBuild[CPU])+SUMIF(HostBuild[Alias],HostBuild[Alias],HostBuild[Existing CPUs]))</f>
        <v>0</v>
      </c>
      <c r="EW98" s="67">
        <f>IF(HostBuild[Existing Server?]="Yes - Inside this BoM",0,SUMIF(HostBuild[Alias],HostBuild[Alias],HostBuild[Cores 
(Licensed Units)])+SUMIF(HostBuild[Alias],HostBuild[Alias],HostBuild[Existing Cores]))</f>
        <v>0</v>
      </c>
      <c r="EX98" s="67">
        <f>IF(HostBuild[Existing Server?]="Yes - Inside this BoM",0,SUMIF(HostBuild[Alias],HostBuild[Alias],HostBuild[RAM 
(GB)])+SUMIF(HostBuild[Alias],HostBuild[Alias],HostBuild[Existing RAM (GB)]))</f>
        <v>0</v>
      </c>
      <c r="EY9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8" s="66">
        <f>IF(ISBLANK(HostBuild[Server Model]),0,IF(HostBuild[Server Tier]="VMware",0,VLOOKUP(HostBuild[Server Tier],[1]!ServerTierRates[#Data],2,0))*HostBuild[CPU]*IF(AND(HostBuild[Server Type]="pSeries",HostBuild[Virtual Platform Storage Type]="Cloud-SAN"),0.25,1))</f>
        <v>0</v>
      </c>
      <c r="FD98" s="66">
        <f>0</f>
        <v>0</v>
      </c>
      <c r="FE98" s="66">
        <f>IF(HostBuild[Server Type]="VMware",HostBuild[RAM 
(GB)]*IF(ISERROR(FIND("DevCloud", HostBuild[Server Model])&gt;0),vRAM_per_vCPU_2014_Monthly,vRAM_per_vCPU_2014_Daily*30),0)</f>
        <v>0</v>
      </c>
      <c r="FF9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8" s="69">
        <f>IF(HostBuild[Server Tier]="VMware",0,IF(LEFT(HostBuild[Existing Server?],3)="Yes",0,IF(OR(HostBuild[Server Type]="Sun",HostBuild[Server Type]="pSeries"),Support_Direct_Server_Sun_per_OS_2014,IF(HostBuild[Server Type]="x86",Support_Direct_Server_x86_Wintel_per_OS_2014,0))))</f>
        <v>0</v>
      </c>
      <c r="FI9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99" spans="1:165">
      <c r="A99" s="122" t="s">
        <v>53</v>
      </c>
      <c r="B99" s="36"/>
      <c r="C99" s="36"/>
      <c r="D99" s="36"/>
      <c r="E99" s="37"/>
      <c r="F99" s="37"/>
      <c r="G99" s="103"/>
      <c r="H99" s="103"/>
      <c r="I99" s="38"/>
      <c r="J99" s="37"/>
      <c r="K99" s="37"/>
      <c r="L99" s="37"/>
      <c r="M99" s="103" t="e">
        <f ca="1">IF(rngIsDate(HostBuild[CTO Acceptance]),"Y","N")</f>
        <v>#NAME?</v>
      </c>
      <c r="N99" s="123" t="s">
        <v>181</v>
      </c>
      <c r="O99" s="39"/>
      <c r="P99" s="39"/>
      <c r="Q99" s="123" t="s">
        <v>50</v>
      </c>
      <c r="R99" s="126" t="str">
        <f>IF(NOT(ISBLANK(HostBuild[Env Label])),IFERROR(VLOOKUP(HostBuild[Env Label],[1]!tEnv[#Data],3,FALSE),""),"")</f>
        <v/>
      </c>
      <c r="S99" s="104"/>
      <c r="T99" s="40"/>
      <c r="U99" s="105"/>
      <c r="V99" s="123" t="s">
        <v>383</v>
      </c>
      <c r="W99" s="123" t="s">
        <v>83</v>
      </c>
      <c r="X99" s="123" t="s">
        <v>57</v>
      </c>
      <c r="Y99" s="123" t="s">
        <v>58</v>
      </c>
      <c r="Z99" s="126" t="str">
        <f>IF(NOT(ISBLANK(HostBuild[[#This Row],[Product 
(Acronym)]])),CONCATENATE(HostBuild[[#This Row],[Type]],"-",HostBuild[[#This Row],[Product 
(Acronym)]]),"")</f>
        <v>AP-ESB</v>
      </c>
      <c r="AA99" s="106"/>
      <c r="AB99" s="106" t="s">
        <v>59</v>
      </c>
      <c r="AC99" s="41"/>
      <c r="AD99" s="42"/>
      <c r="AE99" s="42"/>
      <c r="AF99" s="43" t="s">
        <v>60</v>
      </c>
      <c r="AG99" s="124"/>
      <c r="AH99" s="107"/>
      <c r="AI99" s="124" t="s">
        <v>185</v>
      </c>
      <c r="AJ99" s="123">
        <f>IF(COUNTIF(HostBuild[Alias],HostBuild[Alias]),1/COUNTIF(HostBuild[Alias],HostBuild[Alias]),0)</f>
        <v>1</v>
      </c>
      <c r="AK99" s="124"/>
      <c r="AL99" s="124"/>
      <c r="AM99" s="44" t="s">
        <v>62</v>
      </c>
      <c r="AN99" s="45" t="str">
        <f>IF(NOT(ISBLANK(HostBuild[Server Model])),VLOOKUP(HostBuild[Server Model],[1]!ServerModelsTier[#Data],2,FALSE),"")</f>
        <v>x86 Tier 3</v>
      </c>
      <c r="AO99" s="45" t="str">
        <f>IF(NOT(ISBLANK(HostBuild[Server Model])),VLOOKUP(HostBuild[Server Model],[1]!ServerModelsTier[#Data],5,FALSE),"")</f>
        <v>x86</v>
      </c>
      <c r="AP99" s="44"/>
      <c r="AQ99" s="44" t="s">
        <v>63</v>
      </c>
      <c r="AR99" s="46"/>
      <c r="AS99" s="108"/>
      <c r="AT99" s="47"/>
      <c r="AU99" s="109" t="str">
        <f>IF(IFERROR(FIND("P-Series",HostBuild[Server Tier]),0),CEILING((HostBuild[Existing CPUs]+HostBuild[CPU])*16,8),"")</f>
        <v/>
      </c>
      <c r="AV99" s="48"/>
      <c r="AW99" s="124"/>
      <c r="AX99" s="124"/>
      <c r="AY99" s="124"/>
      <c r="AZ99" s="49"/>
      <c r="BA99" s="124"/>
      <c r="BB99" s="124"/>
      <c r="BC99" s="42"/>
      <c r="BD99" s="124"/>
      <c r="BE99" s="124"/>
      <c r="BF99" s="124"/>
      <c r="BG99" s="124"/>
      <c r="BH99" s="124"/>
      <c r="BI99" s="124"/>
      <c r="BJ99" s="124"/>
      <c r="BK99"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99" s="127">
        <v>250</v>
      </c>
      <c r="BM99" s="129">
        <f>IF(ISNUMBER(HostBuild[Recommended SAN (GB)]),HostBuild[Recommended SAN (GB)])+IF(HostBuild[Additional SAN (GB)]&gt;0,CEILING(HostBuild[Additional SAN (GB)],LUN),-(CEILING(-HostBuild[Additional SAN (GB)],LUN)))</f>
        <v>269.60000000000002</v>
      </c>
      <c r="BN99" s="128"/>
      <c r="BO99" s="129">
        <f>HostBuild[SAN (GB)
NEEDED TODAY]+CEILING(HostBuild[SAN (GB)
RESERVED
DO NOT USE TO BUILD], LUN)</f>
        <v>269.60000000000002</v>
      </c>
      <c r="BP99" s="130"/>
      <c r="BQ99" s="131"/>
      <c r="BR99" s="125" t="s">
        <v>76</v>
      </c>
      <c r="BS99" s="110">
        <f>IF(HostBuild[Existing Server?]&lt;&gt;"Yes - Inside this BoM",IF(ISNUMBER(HostBuild[RAM 
(GB)]),IF(HostBuild[Existing RAM (GB)]+HostBuild[RAM 
(GB)]&gt;0,IF(HostBuild[Virtual Platform Storage Type]="NAS",110+HostBuild[Existing RAM (GB)]+HostBuild[RAM 
(GB)]*1.75,0),0),0),0)</f>
        <v>0</v>
      </c>
      <c r="BT99" s="111"/>
      <c r="BU99" s="112">
        <f>IF(ISNUMBER(HostBuild[Recommended NAS (GB)]),HostBuild[Recommended NAS (GB)])+HostBuild[Additional NAS (GB)]</f>
        <v>0</v>
      </c>
      <c r="BV99" s="50"/>
      <c r="BW99" s="50"/>
      <c r="BX99" s="133">
        <f>IFERROR((HostBuild[SAN (GB)
End-State
DO NOT USE TO BUILD]+HostBuild[SAN (GB) Shared])*25%,"")</f>
        <v>67.400000000000006</v>
      </c>
      <c r="BY99" s="113">
        <f>IFERROR(HostBuild[Archive
Full (GB)]*15%,"")</f>
        <v>10.110000000000001</v>
      </c>
      <c r="BZ99" s="51"/>
      <c r="CA99" s="51"/>
      <c r="CB99" s="52"/>
      <c r="CC99" s="53"/>
      <c r="CD99" s="52"/>
      <c r="CE99" s="54"/>
      <c r="CF99" s="128"/>
      <c r="CG99" s="114"/>
      <c r="CH99" s="55"/>
      <c r="CI99" s="56"/>
      <c r="CJ99" s="57"/>
      <c r="CK99" s="58"/>
      <c r="CL99" s="59">
        <f>IFERROR(IF(FIND(CL$1,$W99)&gt;0,IF(INDEX([1]!Product_Pricing_Table[#Data],MATCH(CL$1,Products,0),2)="Cores",IF(HostBuild[Use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99" s="59">
        <f>IFERROR(IF(FIND(CM$1,$W99)&gt;0,IF(INDEX([1]!Product_Pricing_Table[#Data],MATCH(CM$1,Products,0),2)="Cores",IF(HostBuild[Use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99" s="59">
        <f>IFERROR(IF(FIND(CN$1,$W99)&gt;0,IF(INDEX([1]!Product_Pricing_Table[#Data],MATCH(CN$1,Products,0),2)="Cores",IF(HostBuild[Use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99" s="59">
        <f>IFERROR(IF(FIND(CO$1,$W99)&gt;0,IF(INDEX([1]!Product_Pricing_Table[#Data],MATCH(CO$1,Products,0),2)="Cores",IF(HostBuild[Use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99" s="59">
        <f>IFERROR(IF(FIND(CP$1,$W99)&gt;0,IF(INDEX([1]!Product_Pricing_Table[#Data],MATCH(CP$1,Products,0),2)="Cores",IF(HostBuild[Use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99" s="59">
        <f>IFERROR(IF(FIND(CQ$1,$W99)&gt;0,IF(INDEX([1]!Product_Pricing_Table[#Data],MATCH(CQ$1,Products,0),2)="Cores",IF(HostBuild[Use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99" s="59">
        <f>IFERROR(IF(FIND(CR$1,$W99)&gt;0,IF(INDEX([1]!Product_Pricing_Table[#Data],MATCH(CR$1,Products,0),2)="Cores",IF(HostBuild[Use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99" s="59">
        <f>IFERROR(IF(FIND(CS$1,$W99)&gt;0,IF(INDEX([1]!Product_Pricing_Table[#Data],MATCH(CS$1,Products,0),2)="Cores",IF(HostBuild[Use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99" s="59">
        <f>IFERROR(IF(FIND(CT$1,$W99)&gt;0,IF(INDEX([1]!Product_Pricing_Table[#Data],MATCH(CT$1,Products,0),2)="Cores",IF(HostBuild[Use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99" s="59">
        <f>IFERROR(IF(FIND(CU$1,$W99)&gt;0,IF(INDEX([1]!Product_Pricing_Table[#Data],MATCH(CU$1,Products,0),2)="Cores",IF(HostBuild[Use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99" s="59">
        <f>IFERROR(IF(FIND(CV$1,$W99)&gt;0,IF(INDEX([1]!Product_Pricing_Table[#Data],MATCH(CV$1,Products,0),2)="Cores",IF(HostBuild[Use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99" s="59">
        <f>IFERROR(IF(FIND(CW$1,$W99)&gt;0,IF(INDEX([1]!Product_Pricing_Table[#Data],MATCH(CW$1,Products,0),2)="Cores",IF(HostBuild[Use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99" s="59">
        <f>IFERROR(IF(FIND(CX$1,$W99)&gt;0,IF(INDEX([1]!Product_Pricing_Table[#Data],MATCH(CX$1,Products,0),2)="Cores",IF(HostBuild[Use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99" s="59">
        <f>IFERROR(IF(FIND(CY$1,$W99)&gt;0,IF(INDEX([1]!Product_Pricing_Table[#Data],MATCH(CY$1,Products,0),2)="Cores",IF(HostBuild[Use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99" s="59">
        <f>IFERROR(IF(FIND(CZ$1,$W99)&gt;0,IF(INDEX([1]!Product_Pricing_Table[#Data],MATCH(CZ$1,Products,0),2)="Cores",IF(HostBuild[Use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99" s="59">
        <f>IFERROR(IF(FIND(DA$1,$W99)&gt;0,IF(INDEX([1]!Product_Pricing_Table[#Data],MATCH(DA$1,Products,0),2)="Cores",IF(HostBuild[Use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99" s="59">
        <f>IFERROR(IF(FIND(DB$1,$W99)&gt;0,IF(INDEX([1]!Product_Pricing_Table[#Data],MATCH(DB$1,Products,0),2)="Cores",IF(HostBuild[Use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99" s="59">
        <f>IFERROR(IF(FIND(DC$1,$W99)&gt;0,IF(INDEX([1]!Product_Pricing_Table[#Data],MATCH(DC$1,Products,0),2)="Cores",IF(HostBuild[Use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99" s="59">
        <f>IFERROR(IF(FIND(DD$1,$W99)&gt;0,IF(INDEX([1]!Product_Pricing_Table[#Data],MATCH(DD$1,Products,0),2)="Cores",IF(HostBuild[Use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99" s="59">
        <f>IFERROR(IF(FIND(DE$1,$W99)&gt;0,IF(INDEX([1]!Product_Pricing_Table[#Data],MATCH(DE$1,Products,0),2)="Cores",IF(HostBuild[Use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99" s="60">
        <f>IFERROR(IF(FIND(DF$1,$W99)&gt;0,IF(INDEX([1]!Product_Pricing_Table[#Data],MATCH(DF$1,Products,0),2)="Cores",IF(HostBuild[Use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99" s="60">
        <f>IFERROR(IF(FIND(DG$1,$W99)&gt;0,IF(INDEX([1]!Product_Pricing_Table[#Data],MATCH(DG$1,Products,0),2)="Cores",IF(HostBuild[Use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99" s="59">
        <f>IFERROR(IF(FIND(DH$1,$W99)&gt;0,IF(INDEX([1]!Product_Pricing_Table[#Data],MATCH(DH$1,Products,0),2)="Cores",IF(HostBuild[Use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99" s="60">
        <f>IFERROR(IF(FIND(DI$1,$W99)&gt;0,IF(INDEX([1]!Product_Pricing_Table[#Data],MATCH(DI$1,Products,0),2)="Cores",IF(HostBuild[Use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99" s="59">
        <f>IFERROR(IF(FIND(DJ$1,$W99)&gt;0,IF(INDEX([1]!Product_Pricing_Table[#Data],MATCH(DJ$1,Products,0),2)="Cores",IF(HostBuild[Use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99" s="59">
        <f>IFERROR(IF(FIND(DK$1,$W99)&gt;0,IF(INDEX([1]!Product_Pricing_Table[#Data],MATCH(DK$1,Products,0),2)="Cores",IF(HostBuild[Use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99" s="59">
        <f>IFERROR(IF(FIND(DL$1,$W99)&gt;0,IF(INDEX([1]!Product_Pricing_Table[#Data],MATCH(DL$1,Products,0),2)="Cores",IF(HostBuild[Use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99" s="59">
        <f>IFERROR(IF(FIND(DM$1,$W99)&gt;0,IF(INDEX([1]!Product_Pricing_Table[#Data],MATCH(DM$1,Products,0),2)="Cores",IF(HostBuild[Use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99" s="59">
        <f>IFERROR(IF(FIND(DN$1,$W99)&gt;0,IF(INDEX([1]!Product_Pricing_Table[#Data],MATCH(DN$1,Products,0),2)="Cores",IF(HostBuild[Use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99" s="59">
        <f>IFERROR(IF(FIND(DO$1,$W99)&gt;0,IF(INDEX([1]!Product_Pricing_Table[#Data],MATCH(DO$1,Products,0),2)="Cores",IF(HostBuild[Use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99" s="59">
        <f>IFERROR(IF(FIND(DP$1,$W99)&gt;0,IF(INDEX([1]!Product_Pricing_Table[#Data],MATCH(DP$1,Products,0),2)="Cores",IF(HostBuild[Use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99" s="59">
        <f>IFERROR(IF(FIND(DQ$1,$W99)&gt;0,IF(INDEX([1]!Product_Pricing_Table[#Data],MATCH(DQ$1,Products,0),2)="Cores",IF(HostBuild[Use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99" s="59">
        <f>IFERROR(IF(FIND(DR$1,$W99)&gt;0,IF(INDEX([1]!Product_Pricing_Table[#Data],MATCH(DR$1,Products,0),2)="Cores",IF(HostBuild[Use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99" s="59">
        <f>IFERROR(IF(FIND(DS$1,$W99)&gt;0,IF(INDEX([1]!Product_Pricing_Table[#Data],MATCH(DS$1,Products,0),2)="Cores",IF(HostBuild[Use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99" s="59">
        <f>IFERROR(IF(FIND(DT$1,$W99)&gt;0,IF(INDEX([1]!Product_Pricing_Table[#Data],MATCH(DT$1,Products,0),2)="Cores",IF(HostBuild[Use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99" s="59">
        <f>IFERROR(IF(FIND(DU$1,$W99)&gt;0,IF(INDEX([1]!Product_Pricing_Table[#Data],MATCH(DU$1,Products,0),2)="Cores",IF(HostBuild[Use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99" s="59">
        <f>IFERROR(IF(FIND(DV$1,$W99)&gt;0,IF(INDEX([1]!Product_Pricing_Table[#Data],MATCH(DV$1,Products,0),2)="Cores",IF(HostBuild[Use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99" s="59">
        <f>IFERROR(IF(FIND(DW$1,$W99)&gt;0,IF(INDEX([1]!Product_Pricing_Table[#Data],MATCH(DW$1,Products,0),2)="Cores",IF(HostBuild[Use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99" s="59">
        <f>IFERROR(IF(FIND(DX$1,$W99)&gt;0,IF(INDEX([1]!Product_Pricing_Table[#Data],MATCH(DX$1,Products,0),2)="Cores",IF(HostBuild[Use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99" s="59">
        <f>IFERROR(IF(FIND(DY$1,$W99)&gt;0,IF(INDEX([1]!Product_Pricing_Table[#Data],MATCH(DY$1,Products,0),2)="Cores",IF(HostBuild[Use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99" s="59">
        <f>IFERROR(IF(FIND(DZ$1,$W99)&gt;0,IF(INDEX([1]!Product_Pricing_Table[#Data],MATCH(DZ$1,Products,0),2)="Cores",IF(HostBuild[Use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99" s="59">
        <f>IFERROR(IF(FIND(EA$1,$W99)&gt;0,IF(INDEX([1]!Product_Pricing_Table[#Data],MATCH(EA$1,Products,0),2)="Cores",IF(HostBuild[Use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99" s="59">
        <f>IFERROR(IF(FIND(EB$1,$W99)&gt;0,IF(INDEX([1]!Product_Pricing_Table[#Data],MATCH(EB$1,Products,0),2)="Cores",IF(HostBuild[Use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99" s="60">
        <f>IFERROR(IF(FIND(EC$1,$W99)&gt;0,IF(INDEX([1]!Product_Pricing_Table[#Data],MATCH(EC$1,Products,0),2)="Cores",IF(HostBuild[Use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99" s="59">
        <f>IFERROR(IF(FIND(ED$1,$W99)&gt;0,IF(INDEX([1]!Product_Pricing_Table[#Data],MATCH(ED$1,Products,0),2)="Cores",IF(HostBuild[Use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99" s="59">
        <f>IFERROR(IF(FIND(EE$1,$W99)&gt;0,IF(INDEX([1]!Product_Pricing_Table[#Data],MATCH(EE$1,Products,0),2)="Cores",IF(HostBuild[Use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99" s="59">
        <f>IFERROR(IF(FIND(EF$1,$W99)&gt;0,IF(INDEX([1]!Product_Pricing_Table[#Data],MATCH(EF$1,Products,0),2)="Cores",IF(HostBuild[Use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99" s="59">
        <f>IFERROR(IF(FIND(EG$1,$W99)&gt;0,IF(INDEX([1]!Product_Pricing_Table[#Data],MATCH(EG$1,Products,0),2)="Cores",IF(HostBuild[Use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99" s="59">
        <f>IFERROR(IF(FIND(EH$1,$W99)&gt;0,IF(INDEX([1]!Product_Pricing_Table[#Data],MATCH(EH$1,Products,0),2)="Cores",IF(HostBuild[Use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99" s="59">
        <f>IFERROR(IF(FIND(EI$1,$W99)&gt;0,IF(INDEX([1]!Product_Pricing_Table[#Data],MATCH(EI$1,Products,0),2)="Cores",IF(HostBuild[Use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99" s="59">
        <f>IFERROR(IF(FIND(EJ$1,$W99)&gt;0,IF(INDEX([1]!Product_Pricing_Table[#Data],MATCH(EJ$1,Products,0),2)="Cores",IF(HostBuild[Use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99" s="60">
        <f>IFERROR(IF(FIND(EK$1,$W99)&gt;0,IF(INDEX([1]!Product_Pricing_Table[#Data],MATCH(EK$1,Products,0),2)="Cores",IF(HostBuild[Use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99" s="61"/>
      <c r="EM99" s="62">
        <v>3750</v>
      </c>
      <c r="EN99" s="63">
        <v>525</v>
      </c>
      <c r="EO99"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9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121.32000000000001</v>
      </c>
      <c r="EQ99" s="132">
        <f>(HostBuild[Archive
Full (GB)]+HostBuild[Archive
Incr (GB)])*Storage_DC_Dist_Tape_2014</f>
        <v>27.128499999999999</v>
      </c>
      <c r="ER99" s="132">
        <f>IF(ISNUMBER(HostBuild[Server HW Costs
(Monthly)]),SUM(HostBuild[[#This Row],[Server HW Costs
(Monthly)]:[Tape Costs
(Monthly)]]),0)</f>
        <v>148.4485</v>
      </c>
      <c r="ES99" s="65">
        <f>HostBuild[Software Costs
'[Year 1']
(Monthly)]+HostBuild[Total Hardware Costs
(Monthly)]</f>
        <v>3898.4485</v>
      </c>
      <c r="ET99" s="65">
        <f>IFERROR(IF(FIND("Safenet",HostBuild[Server Model]),Safenet_PSE_PL600_Maint,0),0)+IFERROR(IF(FIND("XI52",HostBuild[Server Model]),IBM_DIA_XI52_Maint,0),0)+HostBuild[Software Costs
'[After Year 1']
(Monthly)]+HostBuild[Total Hardware Costs
(Monthly)]</f>
        <v>673.44849999999997</v>
      </c>
      <c r="EU99" s="66">
        <f>SUM(HostBuild[[#This Row],[Server Cost Breakdown]:[Network Cost]])</f>
        <v>0</v>
      </c>
      <c r="EV99" s="67">
        <f>IF(HostBuild[Existing Server?]="Yes - Inside this BoM",0,SUMIF(HostBuild[Alias],HostBuild[Alias],HostBuild[CPU])+SUMIF(HostBuild[Alias],HostBuild[Alias],HostBuild[Existing CPUs]))</f>
        <v>0</v>
      </c>
      <c r="EW99" s="67">
        <f>IF(HostBuild[Existing Server?]="Yes - Inside this BoM",0,SUMIF(HostBuild[Alias],HostBuild[Alias],HostBuild[Cores 
(Licensed Units)])+SUMIF(HostBuild[Alias],HostBuild[Alias],HostBuild[Existing Cores]))</f>
        <v>0</v>
      </c>
      <c r="EX99" s="67">
        <f>IF(HostBuild[Existing Server?]="Yes - Inside this BoM",0,SUMIF(HostBuild[Alias],HostBuild[Alias],HostBuild[RAM 
(GB)])+SUMIF(HostBuild[Alias],HostBuild[Alias],HostBuild[Existing RAM (GB)]))</f>
        <v>0</v>
      </c>
      <c r="EY9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9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9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9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99" s="66">
        <f>IF(ISBLANK(HostBuild[Server Model]),0,IF(HostBuild[Server Tier]="VMware",0,VLOOKUP(HostBuild[Server Tier],[1]!ServerTierRates[#Data],2,0))*HostBuild[CPU]*IF(AND(HostBuild[Server Type]="pSeries",HostBuild[Virtual Platform Storage Type]="Cloud-SAN"),0.25,1))</f>
        <v>0</v>
      </c>
      <c r="FD99" s="66">
        <f>0</f>
        <v>0</v>
      </c>
      <c r="FE99" s="66">
        <f>IF(HostBuild[Server Type]="VMware",HostBuild[RAM 
(GB)]*IF(ISERROR(FIND("DevCloud", HostBuild[Server Model])&gt;0),vRAM_per_vCPU_2014_Monthly,vRAM_per_vCPU_2014_Daily*30),0)</f>
        <v>0</v>
      </c>
      <c r="FF9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9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99" s="69">
        <f>IF(HostBuild[Server Tier]="VMware",0,IF(LEFT(HostBuild[Existing Server?],3)="Yes",0,IF(OR(HostBuild[Server Type]="Sun",HostBuild[Server Type]="pSeries"),Support_Direct_Server_Sun_per_OS_2014,IF(HostBuild[Server Type]="x86",Support_Direct_Server_x86_Wintel_per_OS_2014,0))))</f>
        <v>0</v>
      </c>
      <c r="FI9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0" spans="1:165" hidden="1">
      <c r="A100" s="122" t="s">
        <v>53</v>
      </c>
      <c r="B100" s="36"/>
      <c r="C100" s="36"/>
      <c r="D100" s="36"/>
      <c r="E100" s="37"/>
      <c r="F100" s="37"/>
      <c r="G100" s="103"/>
      <c r="H100" s="103"/>
      <c r="I100" s="38"/>
      <c r="J100" s="37"/>
      <c r="K100" s="37"/>
      <c r="L100" s="37"/>
      <c r="M100" s="103" t="e">
        <f ca="1">IF(rngIsDate(HostBuild[CTO Acceptance]),"Y","N")</f>
        <v>#NAME?</v>
      </c>
      <c r="N100" s="123" t="s">
        <v>4</v>
      </c>
      <c r="O100" s="39"/>
      <c r="P100" s="39"/>
      <c r="Q100" s="123" t="s">
        <v>0</v>
      </c>
      <c r="R100" s="126" t="str">
        <f>IF(NOT(ISBLANK(HostBuild[Env Label])),IFERROR(VLOOKUP(HostBuild[Env Label],[1]!tEnv[#Data],3,FALSE),""),"")</f>
        <v/>
      </c>
      <c r="S100" s="104"/>
      <c r="T100" s="40"/>
      <c r="U100" s="105"/>
      <c r="V100" s="123" t="s">
        <v>7</v>
      </c>
      <c r="W100" s="123" t="s">
        <v>186</v>
      </c>
      <c r="X100" s="123" t="s">
        <v>187</v>
      </c>
      <c r="Y100" s="123" t="s">
        <v>188</v>
      </c>
      <c r="Z100" s="126" t="str">
        <f>IF(NOT(ISBLANK(HostBuild[[#This Row],[Product 
(Acronym)]])),CONCATENATE(HostBuild[[#This Row],[Type]],"-",HostBuild[[#This Row],[Product 
(Acronym)]]),"")</f>
        <v>WW-CBOL</v>
      </c>
      <c r="AA100" s="106"/>
      <c r="AB100" s="106" t="s">
        <v>76</v>
      </c>
      <c r="AC100" s="41"/>
      <c r="AD100" s="42"/>
      <c r="AE100" s="42"/>
      <c r="AF100" s="43"/>
      <c r="AG100" s="124"/>
      <c r="AH100" s="107"/>
      <c r="AI100" s="124" t="s">
        <v>8</v>
      </c>
      <c r="AJ100" s="123">
        <f>IF(COUNTIF(HostBuild[Alias],HostBuild[Alias]),1/COUNTIF(HostBuild[Alias],HostBuild[Alias]),0)</f>
        <v>1</v>
      </c>
      <c r="AK100" s="124"/>
      <c r="AL100" s="124"/>
      <c r="AM100" s="44" t="s">
        <v>62</v>
      </c>
      <c r="AN100" s="45" t="str">
        <f>IF(NOT(ISBLANK(HostBuild[Server Model])),VLOOKUP(HostBuild[Server Model],[1]!ServerModelsTier[#Data],2,FALSE),"")</f>
        <v>x86 Tier 3</v>
      </c>
      <c r="AO100" s="45" t="str">
        <f>IF(NOT(ISBLANK(HostBuild[Server Model])),VLOOKUP(HostBuild[Server Model],[1]!ServerModelsTier[#Data],5,FALSE),"")</f>
        <v>x86</v>
      </c>
      <c r="AP100" s="44"/>
      <c r="AQ100" s="44" t="s">
        <v>63</v>
      </c>
      <c r="AR100" s="46">
        <v>2</v>
      </c>
      <c r="AS100" s="108"/>
      <c r="AT100" s="47">
        <v>16</v>
      </c>
      <c r="AU100" s="109" t="str">
        <f>IF(IFERROR(FIND("P-Series",HostBuild[Server Tier]),0),CEILING((HostBuild[Existing CPUs]+HostBuild[CPU])*16,8),"")</f>
        <v/>
      </c>
      <c r="AV100" s="48">
        <v>128</v>
      </c>
      <c r="AW100" s="124"/>
      <c r="AX100" s="124"/>
      <c r="AY100" s="124"/>
      <c r="AZ100" s="49"/>
      <c r="BA100" s="124"/>
      <c r="BB100" s="124"/>
      <c r="BC100" s="42"/>
      <c r="BD100" s="124"/>
      <c r="BE100" s="124"/>
      <c r="BF100" s="124"/>
      <c r="BG100" s="124"/>
      <c r="BH100" s="124"/>
      <c r="BI100" s="124"/>
      <c r="BJ100" s="124"/>
      <c r="BK100"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00" s="127">
        <v>700</v>
      </c>
      <c r="BM100" s="129">
        <f>IF(ISNUMBER(HostBuild[Recommended SAN (GB)]),HostBuild[Recommended SAN (GB)])+IF(HostBuild[Additional SAN (GB)]&gt;0,CEILING(HostBuild[Additional SAN (GB)],LUN),-(CEILING(-HostBuild[Additional SAN (GB)],LUN)))</f>
        <v>909.90000000000009</v>
      </c>
      <c r="BN100" s="128"/>
      <c r="BO100" s="129">
        <f>HostBuild[SAN (GB)
NEEDED TODAY]+CEILING(HostBuild[SAN (GB)
RESERVED
DO NOT USE TO BUILD], LUN)</f>
        <v>909.90000000000009</v>
      </c>
      <c r="BP100" s="130"/>
      <c r="BQ100" s="131"/>
      <c r="BR100" s="125" t="s">
        <v>76</v>
      </c>
      <c r="BS100" s="110">
        <f>IF(HostBuild[Existing Server?]&lt;&gt;"Yes - Inside this BoM",IF(ISNUMBER(HostBuild[RAM 
(GB)]),IF(HostBuild[Existing RAM (GB)]+HostBuild[RAM 
(GB)]&gt;0,IF(HostBuild[Virtual Platform Storage Type]="NAS",110+HostBuild[Existing RAM (GB)]+HostBuild[RAM 
(GB)]*1.75,0),0),0),0)</f>
        <v>0</v>
      </c>
      <c r="BT100" s="111"/>
      <c r="BU100" s="112">
        <f>IF(ISNUMBER(HostBuild[Recommended NAS (GB)]),HostBuild[Recommended NAS (GB)])+HostBuild[Additional NAS (GB)]</f>
        <v>0</v>
      </c>
      <c r="BV100" s="50"/>
      <c r="BW100" s="50"/>
      <c r="BX100" s="133">
        <f>IFERROR((HostBuild[SAN (GB)
End-State
DO NOT USE TO BUILD]+HostBuild[SAN (GB) Shared])*25%,"")</f>
        <v>227.47500000000002</v>
      </c>
      <c r="BY100" s="113">
        <f>IFERROR(HostBuild[Archive
Full (GB)]*15%,"")</f>
        <v>34.121250000000003</v>
      </c>
      <c r="BZ100" s="51"/>
      <c r="CA100" s="51"/>
      <c r="CB100" s="52"/>
      <c r="CC100" s="53"/>
      <c r="CD100" s="52"/>
      <c r="CE100" s="54"/>
      <c r="CF100" s="128"/>
      <c r="CG100" s="114"/>
      <c r="CH100" s="55"/>
      <c r="CI100" s="56"/>
      <c r="CJ100" s="57"/>
      <c r="CK100" s="58"/>
      <c r="CL100" s="59">
        <f>IFERROR(IF(FIND(CL$1,$W100)&gt;0,IF(INDEX([1]!Product_Pricing_Table[#Data],MATCH(CL$1,Products,0),2)="Cores",IF(HostBuild[Use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0" s="59">
        <f>IFERROR(IF(FIND(CM$1,$W100)&gt;0,IF(INDEX([1]!Product_Pricing_Table[#Data],MATCH(CM$1,Products,0),2)="Cores",IF(HostBuild[Use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00" s="59">
        <f>IFERROR(IF(FIND(CN$1,$W100)&gt;0,IF(INDEX([1]!Product_Pricing_Table[#Data],MATCH(CN$1,Products,0),2)="Cores",IF(HostBuild[Use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0" s="59">
        <f>IFERROR(IF(FIND(CO$1,$W100)&gt;0,IF(INDEX([1]!Product_Pricing_Table[#Data],MATCH(CO$1,Products,0),2)="Cores",IF(HostBuild[Use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0" s="59">
        <f>IFERROR(IF(FIND(CP$1,$W100)&gt;0,IF(INDEX([1]!Product_Pricing_Table[#Data],MATCH(CP$1,Products,0),2)="Cores",IF(HostBuild[Use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0" s="59">
        <f>IFERROR(IF(FIND(CQ$1,$W100)&gt;0,IF(INDEX([1]!Product_Pricing_Table[#Data],MATCH(CQ$1,Products,0),2)="Cores",IF(HostBuild[Use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0" s="59">
        <f>IFERROR(IF(FIND(CR$1,$W100)&gt;0,IF(INDEX([1]!Product_Pricing_Table[#Data],MATCH(CR$1,Products,0),2)="Cores",IF(HostBuild[Use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0" s="59">
        <f>IFERROR(IF(FIND(CS$1,$W100)&gt;0,IF(INDEX([1]!Product_Pricing_Table[#Data],MATCH(CS$1,Products,0),2)="Cores",IF(HostBuild[Use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0" s="59">
        <f>IFERROR(IF(FIND(CT$1,$W100)&gt;0,IF(INDEX([1]!Product_Pricing_Table[#Data],MATCH(CT$1,Products,0),2)="Cores",IF(HostBuild[Use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0" s="59">
        <f>IFERROR(IF(FIND(CU$1,$W100)&gt;0,IF(INDEX([1]!Product_Pricing_Table[#Data],MATCH(CU$1,Products,0),2)="Cores",IF(HostBuild[Use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00" s="59">
        <f>IFERROR(IF(FIND(CV$1,$W100)&gt;0,IF(INDEX([1]!Product_Pricing_Table[#Data],MATCH(CV$1,Products,0),2)="Cores",IF(HostBuild[Use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0" s="59">
        <f>IFERROR(IF(FIND(CW$1,$W100)&gt;0,IF(INDEX([1]!Product_Pricing_Table[#Data],MATCH(CW$1,Products,0),2)="Cores",IF(HostBuild[Use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0" s="59">
        <f>IFERROR(IF(FIND(CX$1,$W100)&gt;0,IF(INDEX([1]!Product_Pricing_Table[#Data],MATCH(CX$1,Products,0),2)="Cores",IF(HostBuild[Use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00" s="59">
        <f>IFERROR(IF(FIND(CY$1,$W100)&gt;0,IF(INDEX([1]!Product_Pricing_Table[#Data],MATCH(CY$1,Products,0),2)="Cores",IF(HostBuild[Use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0" s="59">
        <f>IFERROR(IF(FIND(CZ$1,$W100)&gt;0,IF(INDEX([1]!Product_Pricing_Table[#Data],MATCH(CZ$1,Products,0),2)="Cores",IF(HostBuild[Use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0" s="59">
        <f>IFERROR(IF(FIND(DA$1,$W100)&gt;0,IF(INDEX([1]!Product_Pricing_Table[#Data],MATCH(DA$1,Products,0),2)="Cores",IF(HostBuild[Use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0" s="59">
        <f>IFERROR(IF(FIND(DB$1,$W100)&gt;0,IF(INDEX([1]!Product_Pricing_Table[#Data],MATCH(DB$1,Products,0),2)="Cores",IF(HostBuild[Use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0" s="59">
        <f>IFERROR(IF(FIND(DC$1,$W100)&gt;0,IF(INDEX([1]!Product_Pricing_Table[#Data],MATCH(DC$1,Products,0),2)="Cores",IF(HostBuild[Use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0" s="59">
        <f>IFERROR(IF(FIND(DD$1,$W100)&gt;0,IF(INDEX([1]!Product_Pricing_Table[#Data],MATCH(DD$1,Products,0),2)="Cores",IF(HostBuild[Use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0" s="59">
        <f>IFERROR(IF(FIND(DE$1,$W100)&gt;0,IF(INDEX([1]!Product_Pricing_Table[#Data],MATCH(DE$1,Products,0),2)="Cores",IF(HostBuild[Use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0" s="60">
        <f>IFERROR(IF(FIND(DF$1,$W100)&gt;0,IF(INDEX([1]!Product_Pricing_Table[#Data],MATCH(DF$1,Products,0),2)="Cores",IF(HostBuild[Use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0" s="60">
        <f>IFERROR(IF(FIND(DG$1,$W100)&gt;0,IF(INDEX([1]!Product_Pricing_Table[#Data],MATCH(DG$1,Products,0),2)="Cores",IF(HostBuild[Use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0" s="59">
        <f>IFERROR(IF(FIND(DH$1,$W100)&gt;0,IF(INDEX([1]!Product_Pricing_Table[#Data],MATCH(DH$1,Products,0),2)="Cores",IF(HostBuild[Use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0" s="60">
        <f>IFERROR(IF(FIND(DI$1,$W100)&gt;0,IF(INDEX([1]!Product_Pricing_Table[#Data],MATCH(DI$1,Products,0),2)="Cores",IF(HostBuild[Use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0" s="59">
        <f>IFERROR(IF(FIND(DJ$1,$W100)&gt;0,IF(INDEX([1]!Product_Pricing_Table[#Data],MATCH(DJ$1,Products,0),2)="Cores",IF(HostBuild[Use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0" s="59">
        <f>IFERROR(IF(FIND(DK$1,$W100)&gt;0,IF(INDEX([1]!Product_Pricing_Table[#Data],MATCH(DK$1,Products,0),2)="Cores",IF(HostBuild[Use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0" s="59">
        <f>IFERROR(IF(FIND(DL$1,$W100)&gt;0,IF(INDEX([1]!Product_Pricing_Table[#Data],MATCH(DL$1,Products,0),2)="Cores",IF(HostBuild[Use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0" s="59">
        <f>IFERROR(IF(FIND(DM$1,$W100)&gt;0,IF(INDEX([1]!Product_Pricing_Table[#Data],MATCH(DM$1,Products,0),2)="Cores",IF(HostBuild[Use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0" s="59">
        <f>IFERROR(IF(FIND(DN$1,$W100)&gt;0,IF(INDEX([1]!Product_Pricing_Table[#Data],MATCH(DN$1,Products,0),2)="Cores",IF(HostBuild[Use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0" s="59">
        <f>IFERROR(IF(FIND(DO$1,$W100)&gt;0,IF(INDEX([1]!Product_Pricing_Table[#Data],MATCH(DO$1,Products,0),2)="Cores",IF(HostBuild[Use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0" s="59">
        <f>IFERROR(IF(FIND(DP$1,$W100)&gt;0,IF(INDEX([1]!Product_Pricing_Table[#Data],MATCH(DP$1,Products,0),2)="Cores",IF(HostBuild[Use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0" s="59">
        <f>IFERROR(IF(FIND(DQ$1,$W100)&gt;0,IF(INDEX([1]!Product_Pricing_Table[#Data],MATCH(DQ$1,Products,0),2)="Cores",IF(HostBuild[Use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0" s="59">
        <f>IFERROR(IF(FIND(DR$1,$W100)&gt;0,IF(INDEX([1]!Product_Pricing_Table[#Data],MATCH(DR$1,Products,0),2)="Cores",IF(HostBuild[Use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0" s="59">
        <f>IFERROR(IF(FIND(DS$1,$W100)&gt;0,IF(INDEX([1]!Product_Pricing_Table[#Data],MATCH(DS$1,Products,0),2)="Cores",IF(HostBuild[Use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0" s="59">
        <f>IFERROR(IF(FIND(DT$1,$W100)&gt;0,IF(INDEX([1]!Product_Pricing_Table[#Data],MATCH(DT$1,Products,0),2)="Cores",IF(HostBuild[Use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0" s="59">
        <f>IFERROR(IF(FIND(DU$1,$W100)&gt;0,IF(INDEX([1]!Product_Pricing_Table[#Data],MATCH(DU$1,Products,0),2)="Cores",IF(HostBuild[Use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0" s="59">
        <f>IFERROR(IF(FIND(DV$1,$W100)&gt;0,IF(INDEX([1]!Product_Pricing_Table[#Data],MATCH(DV$1,Products,0),2)="Cores",IF(HostBuild[Use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0" s="59">
        <f>IFERROR(IF(FIND(DW$1,$W100)&gt;0,IF(INDEX([1]!Product_Pricing_Table[#Data],MATCH(DW$1,Products,0),2)="Cores",IF(HostBuild[Use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0" s="59">
        <f>IFERROR(IF(FIND(DX$1,$W100)&gt;0,IF(INDEX([1]!Product_Pricing_Table[#Data],MATCH(DX$1,Products,0),2)="Cores",IF(HostBuild[Use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0" s="59">
        <f>IFERROR(IF(FIND(DY$1,$W100)&gt;0,IF(INDEX([1]!Product_Pricing_Table[#Data],MATCH(DY$1,Products,0),2)="Cores",IF(HostBuild[Use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0" s="59">
        <f>IFERROR(IF(FIND(DZ$1,$W100)&gt;0,IF(INDEX([1]!Product_Pricing_Table[#Data],MATCH(DZ$1,Products,0),2)="Cores",IF(HostBuild[Use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0" s="59">
        <f>IFERROR(IF(FIND(EA$1,$W100)&gt;0,IF(INDEX([1]!Product_Pricing_Table[#Data],MATCH(EA$1,Products,0),2)="Cores",IF(HostBuild[Use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0" s="59">
        <f>IFERROR(IF(FIND(EB$1,$W100)&gt;0,IF(INDEX([1]!Product_Pricing_Table[#Data],MATCH(EB$1,Products,0),2)="Cores",IF(HostBuild[Use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0" s="60">
        <f>IFERROR(IF(FIND(EC$1,$W100)&gt;0,IF(INDEX([1]!Product_Pricing_Table[#Data],MATCH(EC$1,Products,0),2)="Cores",IF(HostBuild[Use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0" s="59">
        <f>IFERROR(IF(FIND(ED$1,$W100)&gt;0,IF(INDEX([1]!Product_Pricing_Table[#Data],MATCH(ED$1,Products,0),2)="Cores",IF(HostBuild[Use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0" s="59">
        <f>IFERROR(IF(FIND(EE$1,$W100)&gt;0,IF(INDEX([1]!Product_Pricing_Table[#Data],MATCH(EE$1,Products,0),2)="Cores",IF(HostBuild[Use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0" s="59">
        <f>IFERROR(IF(FIND(EF$1,$W100)&gt;0,IF(INDEX([1]!Product_Pricing_Table[#Data],MATCH(EF$1,Products,0),2)="Cores",IF(HostBuild[Use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0" s="59">
        <f>IFERROR(IF(FIND(EG$1,$W100)&gt;0,IF(INDEX([1]!Product_Pricing_Table[#Data],MATCH(EG$1,Products,0),2)="Cores",IF(HostBuild[Use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0" s="59">
        <f>IFERROR(IF(FIND(EH$1,$W100)&gt;0,IF(INDEX([1]!Product_Pricing_Table[#Data],MATCH(EH$1,Products,0),2)="Cores",IF(HostBuild[Use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0" s="59">
        <f>IFERROR(IF(FIND(EI$1,$W100)&gt;0,IF(INDEX([1]!Product_Pricing_Table[#Data],MATCH(EI$1,Products,0),2)="Cores",IF(HostBuild[Use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0" s="59">
        <f>IFERROR(IF(FIND(EJ$1,$W100)&gt;0,IF(INDEX([1]!Product_Pricing_Table[#Data],MATCH(EJ$1,Products,0),2)="Cores",IF(HostBuild[Use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0" s="60">
        <f>IFERROR(IF(FIND(EK$1,$W100)&gt;0,IF(INDEX([1]!Product_Pricing_Table[#Data],MATCH(EK$1,Products,0),2)="Cores",IF(HostBuild[Use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0" s="61"/>
      <c r="EM100" s="62">
        <v>0</v>
      </c>
      <c r="EN100" s="63">
        <v>0</v>
      </c>
      <c r="EO100"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0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409.45500000000004</v>
      </c>
      <c r="EQ100" s="132">
        <f>(HostBuild[Archive
Full (GB)]+HostBuild[Archive
Incr (GB)])*Storage_DC_Dist_Tape_2014</f>
        <v>91.558687500000019</v>
      </c>
      <c r="ER100" s="132">
        <f>IF(ISNUMBER(HostBuild[Server HW Costs
(Monthly)]),SUM(HostBuild[[#This Row],[Server HW Costs
(Monthly)]:[Tape Costs
(Monthly)]]),0)</f>
        <v>1389.7136875000001</v>
      </c>
      <c r="ES100" s="65">
        <f>HostBuild[Software Costs
'[Year 1']
(Monthly)]+HostBuild[Total Hardware Costs
(Monthly)]</f>
        <v>1389.7136875000001</v>
      </c>
      <c r="ET100" s="65">
        <f>IFERROR(IF(FIND("Safenet",HostBuild[Server Model]),Safenet_PSE_PL600_Maint,0),0)+IFERROR(IF(FIND("XI52",HostBuild[Server Model]),IBM_DIA_XI52_Maint,0),0)+HostBuild[Software Costs
'[After Year 1']
(Monthly)]+HostBuild[Total Hardware Costs
(Monthly)]</f>
        <v>1389.7136875000001</v>
      </c>
      <c r="EU100" s="66">
        <f>SUM(HostBuild[[#This Row],[Server Cost Breakdown]:[Network Cost]])</f>
        <v>888.7</v>
      </c>
      <c r="EV100" s="67">
        <f>IF(HostBuild[Existing Server?]="Yes - Inside this BoM",0,SUMIF(HostBuild[Alias],HostBuild[Alias],HostBuild[CPU])+SUMIF(HostBuild[Alias],HostBuild[Alias],HostBuild[Existing CPUs]))</f>
        <v>2</v>
      </c>
      <c r="EW100" s="67">
        <f>IF(HostBuild[Existing Server?]="Yes - Inside this BoM",0,SUMIF(HostBuild[Alias],HostBuild[Alias],HostBuild[Cores 
(Licensed Units)])+SUMIF(HostBuild[Alias],HostBuild[Alias],HostBuild[Existing Cores]))</f>
        <v>16</v>
      </c>
      <c r="EX100" s="67">
        <f>IF(HostBuild[Existing Server?]="Yes - Inside this BoM",0,SUMIF(HostBuild[Alias],HostBuild[Alias],HostBuild[RAM 
(GB)])+SUMIF(HostBuild[Alias],HostBuild[Alias],HostBuild[Existing RAM (GB)]))</f>
        <v>128</v>
      </c>
      <c r="EY10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0" s="66">
        <f>IF(ISBLANK(HostBuild[Server Model]),0,IF(HostBuild[Server Tier]="VMware",0,VLOOKUP(HostBuild[Server Tier],[1]!ServerTierRates[#Data],2,0))*HostBuild[CPU]*IF(AND(HostBuild[Server Type]="pSeries",HostBuild[Virtual Platform Storage Type]="Cloud-SAN"),0.25,1))</f>
        <v>608</v>
      </c>
      <c r="FD100" s="66">
        <f>0</f>
        <v>0</v>
      </c>
      <c r="FE100" s="66">
        <f>IF(HostBuild[Server Type]="VMware",HostBuild[RAM 
(GB)]*IF(ISERROR(FIND("DevCloud", HostBuild[Server Model])&gt;0),vRAM_per_vCPU_2014_Monthly,vRAM_per_vCPU_2014_Daily*30),0)</f>
        <v>0</v>
      </c>
      <c r="FF10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0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0" s="69">
        <f>IF(HostBuild[Server Tier]="VMware",0,IF(LEFT(HostBuild[Existing Server?],3)="Yes",0,IF(OR(HostBuild[Server Type]="Sun",HostBuild[Server Type]="pSeries"),Support_Direct_Server_Sun_per_OS_2014,IF(HostBuild[Server Type]="x86",Support_Direct_Server_x86_Wintel_per_OS_2014,0))))</f>
        <v>187.1</v>
      </c>
      <c r="FI10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1" spans="1:165" hidden="1">
      <c r="A101" s="122" t="s">
        <v>53</v>
      </c>
      <c r="B101" s="36"/>
      <c r="C101" s="36"/>
      <c r="D101" s="36"/>
      <c r="E101" s="37"/>
      <c r="F101" s="37"/>
      <c r="G101" s="103"/>
      <c r="H101" s="103"/>
      <c r="I101" s="38"/>
      <c r="J101" s="37"/>
      <c r="K101" s="37"/>
      <c r="L101" s="37"/>
      <c r="M101" s="103" t="e">
        <f ca="1">IF(rngIsDate(HostBuild[CTO Acceptance]),"Y","N")</f>
        <v>#NAME?</v>
      </c>
      <c r="N101" s="123" t="s">
        <v>3</v>
      </c>
      <c r="O101" s="39"/>
      <c r="P101" s="39"/>
      <c r="Q101" s="123" t="s">
        <v>189</v>
      </c>
      <c r="R101" s="126" t="str">
        <f>IF(NOT(ISBLANK(HostBuild[Env Label])),IFERROR(VLOOKUP(HostBuild[Env Label],[1]!tEnv[#Data],3,FALSE),""),"")</f>
        <v/>
      </c>
      <c r="S101" s="104"/>
      <c r="T101" s="40"/>
      <c r="U101" s="105"/>
      <c r="V101" s="123" t="s">
        <v>7</v>
      </c>
      <c r="W101" s="123" t="s">
        <v>186</v>
      </c>
      <c r="X101" s="123" t="s">
        <v>187</v>
      </c>
      <c r="Y101" s="123" t="s">
        <v>188</v>
      </c>
      <c r="Z101" s="126" t="str">
        <f>IF(NOT(ISBLANK(HostBuild[[#This Row],[Product 
(Acronym)]])),CONCATENATE(HostBuild[[#This Row],[Type]],"-",HostBuild[[#This Row],[Product 
(Acronym)]]),"")</f>
        <v>WW-CBOL</v>
      </c>
      <c r="AA101" s="106"/>
      <c r="AB101" s="106" t="s">
        <v>76</v>
      </c>
      <c r="AC101" s="41"/>
      <c r="AD101" s="42"/>
      <c r="AE101" s="42"/>
      <c r="AF101" s="43"/>
      <c r="AG101" s="124"/>
      <c r="AH101" s="107"/>
      <c r="AI101" s="124" t="s">
        <v>10</v>
      </c>
      <c r="AJ101" s="123">
        <f>IF(COUNTIF(HostBuild[Alias],HostBuild[Alias]),1/COUNTIF(HostBuild[Alias],HostBuild[Alias]),0)</f>
        <v>1</v>
      </c>
      <c r="AK101" s="124"/>
      <c r="AL101" s="124"/>
      <c r="AM101" s="44" t="s">
        <v>62</v>
      </c>
      <c r="AN101" s="45" t="str">
        <f>IF(NOT(ISBLANK(HostBuild[Server Model])),VLOOKUP(HostBuild[Server Model],[1]!ServerModelsTier[#Data],2,FALSE),"")</f>
        <v>x86 Tier 3</v>
      </c>
      <c r="AO101" s="45" t="str">
        <f>IF(NOT(ISBLANK(HostBuild[Server Model])),VLOOKUP(HostBuild[Server Model],[1]!ServerModelsTier[#Data],5,FALSE),"")</f>
        <v>x86</v>
      </c>
      <c r="AP101" s="44"/>
      <c r="AQ101" s="44" t="s">
        <v>63</v>
      </c>
      <c r="AR101" s="46">
        <v>2</v>
      </c>
      <c r="AS101" s="108"/>
      <c r="AT101" s="47">
        <v>16</v>
      </c>
      <c r="AU101" s="109" t="str">
        <f>IF(IFERROR(FIND("P-Series",HostBuild[Server Tier]),0),CEILING((HostBuild[Existing CPUs]+HostBuild[CPU])*16,8),"")</f>
        <v/>
      </c>
      <c r="AV101" s="48">
        <v>128</v>
      </c>
      <c r="AW101" s="124"/>
      <c r="AX101" s="124"/>
      <c r="AY101" s="124"/>
      <c r="AZ101" s="49"/>
      <c r="BA101" s="124"/>
      <c r="BB101" s="124"/>
      <c r="BC101" s="42"/>
      <c r="BD101" s="124"/>
      <c r="BE101" s="124"/>
      <c r="BF101" s="124"/>
      <c r="BG101" s="124"/>
      <c r="BH101" s="124"/>
      <c r="BI101" s="124"/>
      <c r="BJ101" s="124"/>
      <c r="BK101"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01" s="127">
        <v>700</v>
      </c>
      <c r="BM101" s="129">
        <f>IF(ISNUMBER(HostBuild[Recommended SAN (GB)]),HostBuild[Recommended SAN (GB)])+IF(HostBuild[Additional SAN (GB)]&gt;0,CEILING(HostBuild[Additional SAN (GB)],LUN),-(CEILING(-HostBuild[Additional SAN (GB)],LUN)))</f>
        <v>909.90000000000009</v>
      </c>
      <c r="BN101" s="128"/>
      <c r="BO101" s="129">
        <f>HostBuild[SAN (GB)
NEEDED TODAY]+CEILING(HostBuild[SAN (GB)
RESERVED
DO NOT USE TO BUILD], LUN)</f>
        <v>909.90000000000009</v>
      </c>
      <c r="BP101" s="130"/>
      <c r="BQ101" s="131"/>
      <c r="BR101" s="125" t="s">
        <v>76</v>
      </c>
      <c r="BS101" s="110">
        <f>IF(HostBuild[Existing Server?]&lt;&gt;"Yes - Inside this BoM",IF(ISNUMBER(HostBuild[RAM 
(GB)]),IF(HostBuild[Existing RAM (GB)]+HostBuild[RAM 
(GB)]&gt;0,IF(HostBuild[Virtual Platform Storage Type]="NAS",110+HostBuild[Existing RAM (GB)]+HostBuild[RAM 
(GB)]*1.75,0),0),0),0)</f>
        <v>0</v>
      </c>
      <c r="BT101" s="111"/>
      <c r="BU101" s="112">
        <f>IF(ISNUMBER(HostBuild[Recommended NAS (GB)]),HostBuild[Recommended NAS (GB)])+HostBuild[Additional NAS (GB)]</f>
        <v>0</v>
      </c>
      <c r="BV101" s="50"/>
      <c r="BW101" s="50"/>
      <c r="BX101" s="133">
        <f>IFERROR((HostBuild[SAN (GB)
End-State
DO NOT USE TO BUILD]+HostBuild[SAN (GB) Shared])*25%,"")</f>
        <v>227.47500000000002</v>
      </c>
      <c r="BY101" s="113">
        <f>IFERROR(HostBuild[Archive
Full (GB)]*15%,"")</f>
        <v>34.121250000000003</v>
      </c>
      <c r="BZ101" s="51"/>
      <c r="CA101" s="51"/>
      <c r="CB101" s="52"/>
      <c r="CC101" s="53"/>
      <c r="CD101" s="52"/>
      <c r="CE101" s="54"/>
      <c r="CF101" s="128"/>
      <c r="CG101" s="114"/>
      <c r="CH101" s="55"/>
      <c r="CI101" s="56"/>
      <c r="CJ101" s="57"/>
      <c r="CK101" s="58"/>
      <c r="CL101" s="59">
        <f>IFERROR(IF(FIND(CL$1,$W101)&gt;0,IF(INDEX([1]!Product_Pricing_Table[#Data],MATCH(CL$1,Products,0),2)="Cores",IF(HostBuild[Use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1" s="59">
        <f>IFERROR(IF(FIND(CM$1,$W101)&gt;0,IF(INDEX([1]!Product_Pricing_Table[#Data],MATCH(CM$1,Products,0),2)="Cores",IF(HostBuild[Use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01" s="59">
        <f>IFERROR(IF(FIND(CN$1,$W101)&gt;0,IF(INDEX([1]!Product_Pricing_Table[#Data],MATCH(CN$1,Products,0),2)="Cores",IF(HostBuild[Use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1" s="59">
        <f>IFERROR(IF(FIND(CO$1,$W101)&gt;0,IF(INDEX([1]!Product_Pricing_Table[#Data],MATCH(CO$1,Products,0),2)="Cores",IF(HostBuild[Use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1" s="59">
        <f>IFERROR(IF(FIND(CP$1,$W101)&gt;0,IF(INDEX([1]!Product_Pricing_Table[#Data],MATCH(CP$1,Products,0),2)="Cores",IF(HostBuild[Use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1" s="59">
        <f>IFERROR(IF(FIND(CQ$1,$W101)&gt;0,IF(INDEX([1]!Product_Pricing_Table[#Data],MATCH(CQ$1,Products,0),2)="Cores",IF(HostBuild[Use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1" s="59">
        <f>IFERROR(IF(FIND(CR$1,$W101)&gt;0,IF(INDEX([1]!Product_Pricing_Table[#Data],MATCH(CR$1,Products,0),2)="Cores",IF(HostBuild[Use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1" s="59">
        <f>IFERROR(IF(FIND(CS$1,$W101)&gt;0,IF(INDEX([1]!Product_Pricing_Table[#Data],MATCH(CS$1,Products,0),2)="Cores",IF(HostBuild[Use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1" s="59">
        <f>IFERROR(IF(FIND(CT$1,$W101)&gt;0,IF(INDEX([1]!Product_Pricing_Table[#Data],MATCH(CT$1,Products,0),2)="Cores",IF(HostBuild[Use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1" s="59">
        <f>IFERROR(IF(FIND(CU$1,$W101)&gt;0,IF(INDEX([1]!Product_Pricing_Table[#Data],MATCH(CU$1,Products,0),2)="Cores",IF(HostBuild[Use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01" s="59">
        <f>IFERROR(IF(FIND(CV$1,$W101)&gt;0,IF(INDEX([1]!Product_Pricing_Table[#Data],MATCH(CV$1,Products,0),2)="Cores",IF(HostBuild[Use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1" s="59">
        <f>IFERROR(IF(FIND(CW$1,$W101)&gt;0,IF(INDEX([1]!Product_Pricing_Table[#Data],MATCH(CW$1,Products,0),2)="Cores",IF(HostBuild[Use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1" s="59">
        <f>IFERROR(IF(FIND(CX$1,$W101)&gt;0,IF(INDEX([1]!Product_Pricing_Table[#Data],MATCH(CX$1,Products,0),2)="Cores",IF(HostBuild[Use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01" s="59">
        <f>IFERROR(IF(FIND(CY$1,$W101)&gt;0,IF(INDEX([1]!Product_Pricing_Table[#Data],MATCH(CY$1,Products,0),2)="Cores",IF(HostBuild[Use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1" s="59">
        <f>IFERROR(IF(FIND(CZ$1,$W101)&gt;0,IF(INDEX([1]!Product_Pricing_Table[#Data],MATCH(CZ$1,Products,0),2)="Cores",IF(HostBuild[Use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1" s="59">
        <f>IFERROR(IF(FIND(DA$1,$W101)&gt;0,IF(INDEX([1]!Product_Pricing_Table[#Data],MATCH(DA$1,Products,0),2)="Cores",IF(HostBuild[Use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1" s="59">
        <f>IFERROR(IF(FIND(DB$1,$W101)&gt;0,IF(INDEX([1]!Product_Pricing_Table[#Data],MATCH(DB$1,Products,0),2)="Cores",IF(HostBuild[Use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1" s="59">
        <f>IFERROR(IF(FIND(DC$1,$W101)&gt;0,IF(INDEX([1]!Product_Pricing_Table[#Data],MATCH(DC$1,Products,0),2)="Cores",IF(HostBuild[Use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1" s="59">
        <f>IFERROR(IF(FIND(DD$1,$W101)&gt;0,IF(INDEX([1]!Product_Pricing_Table[#Data],MATCH(DD$1,Products,0),2)="Cores",IF(HostBuild[Use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1" s="59">
        <f>IFERROR(IF(FIND(DE$1,$W101)&gt;0,IF(INDEX([1]!Product_Pricing_Table[#Data],MATCH(DE$1,Products,0),2)="Cores",IF(HostBuild[Use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1" s="60">
        <f>IFERROR(IF(FIND(DF$1,$W101)&gt;0,IF(INDEX([1]!Product_Pricing_Table[#Data],MATCH(DF$1,Products,0),2)="Cores",IF(HostBuild[Use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1" s="60">
        <f>IFERROR(IF(FIND(DG$1,$W101)&gt;0,IF(INDEX([1]!Product_Pricing_Table[#Data],MATCH(DG$1,Products,0),2)="Cores",IF(HostBuild[Use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1" s="59">
        <f>IFERROR(IF(FIND(DH$1,$W101)&gt;0,IF(INDEX([1]!Product_Pricing_Table[#Data],MATCH(DH$1,Products,0),2)="Cores",IF(HostBuild[Use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1" s="60">
        <f>IFERROR(IF(FIND(DI$1,$W101)&gt;0,IF(INDEX([1]!Product_Pricing_Table[#Data],MATCH(DI$1,Products,0),2)="Cores",IF(HostBuild[Use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1" s="59">
        <f>IFERROR(IF(FIND(DJ$1,$W101)&gt;0,IF(INDEX([1]!Product_Pricing_Table[#Data],MATCH(DJ$1,Products,0),2)="Cores",IF(HostBuild[Use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1" s="59">
        <f>IFERROR(IF(FIND(DK$1,$W101)&gt;0,IF(INDEX([1]!Product_Pricing_Table[#Data],MATCH(DK$1,Products,0),2)="Cores",IF(HostBuild[Use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1" s="59">
        <f>IFERROR(IF(FIND(DL$1,$W101)&gt;0,IF(INDEX([1]!Product_Pricing_Table[#Data],MATCH(DL$1,Products,0),2)="Cores",IF(HostBuild[Use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1" s="59">
        <f>IFERROR(IF(FIND(DM$1,$W101)&gt;0,IF(INDEX([1]!Product_Pricing_Table[#Data],MATCH(DM$1,Products,0),2)="Cores",IF(HostBuild[Use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1" s="59">
        <f>IFERROR(IF(FIND(DN$1,$W101)&gt;0,IF(INDEX([1]!Product_Pricing_Table[#Data],MATCH(DN$1,Products,0),2)="Cores",IF(HostBuild[Use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1" s="59">
        <f>IFERROR(IF(FIND(DO$1,$W101)&gt;0,IF(INDEX([1]!Product_Pricing_Table[#Data],MATCH(DO$1,Products,0),2)="Cores",IF(HostBuild[Use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1" s="59">
        <f>IFERROR(IF(FIND(DP$1,$W101)&gt;0,IF(INDEX([1]!Product_Pricing_Table[#Data],MATCH(DP$1,Products,0),2)="Cores",IF(HostBuild[Use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1" s="59">
        <f>IFERROR(IF(FIND(DQ$1,$W101)&gt;0,IF(INDEX([1]!Product_Pricing_Table[#Data],MATCH(DQ$1,Products,0),2)="Cores",IF(HostBuild[Use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1" s="59">
        <f>IFERROR(IF(FIND(DR$1,$W101)&gt;0,IF(INDEX([1]!Product_Pricing_Table[#Data],MATCH(DR$1,Products,0),2)="Cores",IF(HostBuild[Use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1" s="59">
        <f>IFERROR(IF(FIND(DS$1,$W101)&gt;0,IF(INDEX([1]!Product_Pricing_Table[#Data],MATCH(DS$1,Products,0),2)="Cores",IF(HostBuild[Use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1" s="59">
        <f>IFERROR(IF(FIND(DT$1,$W101)&gt;0,IF(INDEX([1]!Product_Pricing_Table[#Data],MATCH(DT$1,Products,0),2)="Cores",IF(HostBuild[Use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1" s="59">
        <f>IFERROR(IF(FIND(DU$1,$W101)&gt;0,IF(INDEX([1]!Product_Pricing_Table[#Data],MATCH(DU$1,Products,0),2)="Cores",IF(HostBuild[Use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1" s="59">
        <f>IFERROR(IF(FIND(DV$1,$W101)&gt;0,IF(INDEX([1]!Product_Pricing_Table[#Data],MATCH(DV$1,Products,0),2)="Cores",IF(HostBuild[Use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1" s="59">
        <f>IFERROR(IF(FIND(DW$1,$W101)&gt;0,IF(INDEX([1]!Product_Pricing_Table[#Data],MATCH(DW$1,Products,0),2)="Cores",IF(HostBuild[Use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1" s="59">
        <f>IFERROR(IF(FIND(DX$1,$W101)&gt;0,IF(INDEX([1]!Product_Pricing_Table[#Data],MATCH(DX$1,Products,0),2)="Cores",IF(HostBuild[Use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1" s="59">
        <f>IFERROR(IF(FIND(DY$1,$W101)&gt;0,IF(INDEX([1]!Product_Pricing_Table[#Data],MATCH(DY$1,Products,0),2)="Cores",IF(HostBuild[Use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1" s="59">
        <f>IFERROR(IF(FIND(DZ$1,$W101)&gt;0,IF(INDEX([1]!Product_Pricing_Table[#Data],MATCH(DZ$1,Products,0),2)="Cores",IF(HostBuild[Use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1" s="59">
        <f>IFERROR(IF(FIND(EA$1,$W101)&gt;0,IF(INDEX([1]!Product_Pricing_Table[#Data],MATCH(EA$1,Products,0),2)="Cores",IF(HostBuild[Use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1" s="59">
        <f>IFERROR(IF(FIND(EB$1,$W101)&gt;0,IF(INDEX([1]!Product_Pricing_Table[#Data],MATCH(EB$1,Products,0),2)="Cores",IF(HostBuild[Use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1" s="60">
        <f>IFERROR(IF(FIND(EC$1,$W101)&gt;0,IF(INDEX([1]!Product_Pricing_Table[#Data],MATCH(EC$1,Products,0),2)="Cores",IF(HostBuild[Use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1" s="59">
        <f>IFERROR(IF(FIND(ED$1,$W101)&gt;0,IF(INDEX([1]!Product_Pricing_Table[#Data],MATCH(ED$1,Products,0),2)="Cores",IF(HostBuild[Use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1" s="59">
        <f>IFERROR(IF(FIND(EE$1,$W101)&gt;0,IF(INDEX([1]!Product_Pricing_Table[#Data],MATCH(EE$1,Products,0),2)="Cores",IF(HostBuild[Use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1" s="59">
        <f>IFERROR(IF(FIND(EF$1,$W101)&gt;0,IF(INDEX([1]!Product_Pricing_Table[#Data],MATCH(EF$1,Products,0),2)="Cores",IF(HostBuild[Use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1" s="59">
        <f>IFERROR(IF(FIND(EG$1,$W101)&gt;0,IF(INDEX([1]!Product_Pricing_Table[#Data],MATCH(EG$1,Products,0),2)="Cores",IF(HostBuild[Use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1" s="59">
        <f>IFERROR(IF(FIND(EH$1,$W101)&gt;0,IF(INDEX([1]!Product_Pricing_Table[#Data],MATCH(EH$1,Products,0),2)="Cores",IF(HostBuild[Use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1" s="59">
        <f>IFERROR(IF(FIND(EI$1,$W101)&gt;0,IF(INDEX([1]!Product_Pricing_Table[#Data],MATCH(EI$1,Products,0),2)="Cores",IF(HostBuild[Use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1" s="59">
        <f>IFERROR(IF(FIND(EJ$1,$W101)&gt;0,IF(INDEX([1]!Product_Pricing_Table[#Data],MATCH(EJ$1,Products,0),2)="Cores",IF(HostBuild[Use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1" s="60">
        <f>IFERROR(IF(FIND(EK$1,$W101)&gt;0,IF(INDEX([1]!Product_Pricing_Table[#Data],MATCH(EK$1,Products,0),2)="Cores",IF(HostBuild[Use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1" s="61"/>
      <c r="EM101" s="62">
        <v>0</v>
      </c>
      <c r="EN101" s="63">
        <v>0</v>
      </c>
      <c r="EO101"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0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409.45500000000004</v>
      </c>
      <c r="EQ101" s="132">
        <f>(HostBuild[Archive
Full (GB)]+HostBuild[Archive
Incr (GB)])*Storage_DC_Dist_Tape_2014</f>
        <v>91.558687500000019</v>
      </c>
      <c r="ER101" s="132">
        <f>IF(ISNUMBER(HostBuild[Server HW Costs
(Monthly)]),SUM(HostBuild[[#This Row],[Server HW Costs
(Monthly)]:[Tape Costs
(Monthly)]]),0)</f>
        <v>1389.7136875000001</v>
      </c>
      <c r="ES101" s="65">
        <f>HostBuild[Software Costs
'[Year 1']
(Monthly)]+HostBuild[Total Hardware Costs
(Monthly)]</f>
        <v>1389.7136875000001</v>
      </c>
      <c r="ET101" s="65">
        <f>IFERROR(IF(FIND("Safenet",HostBuild[Server Model]),Safenet_PSE_PL600_Maint,0),0)+IFERROR(IF(FIND("XI52",HostBuild[Server Model]),IBM_DIA_XI52_Maint,0),0)+HostBuild[Software Costs
'[After Year 1']
(Monthly)]+HostBuild[Total Hardware Costs
(Monthly)]</f>
        <v>1389.7136875000001</v>
      </c>
      <c r="EU101" s="66">
        <f>SUM(HostBuild[[#This Row],[Server Cost Breakdown]:[Network Cost]])</f>
        <v>888.7</v>
      </c>
      <c r="EV101" s="67">
        <f>IF(HostBuild[Existing Server?]="Yes - Inside this BoM",0,SUMIF(HostBuild[Alias],HostBuild[Alias],HostBuild[CPU])+SUMIF(HostBuild[Alias],HostBuild[Alias],HostBuild[Existing CPUs]))</f>
        <v>2</v>
      </c>
      <c r="EW101" s="67">
        <f>IF(HostBuild[Existing Server?]="Yes - Inside this BoM",0,SUMIF(HostBuild[Alias],HostBuild[Alias],HostBuild[Cores 
(Licensed Units)])+SUMIF(HostBuild[Alias],HostBuild[Alias],HostBuild[Existing Cores]))</f>
        <v>16</v>
      </c>
      <c r="EX101" s="67">
        <f>IF(HostBuild[Existing Server?]="Yes - Inside this BoM",0,SUMIF(HostBuild[Alias],HostBuild[Alias],HostBuild[RAM 
(GB)])+SUMIF(HostBuild[Alias],HostBuild[Alias],HostBuild[Existing RAM (GB)]))</f>
        <v>128</v>
      </c>
      <c r="EY10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1" s="66">
        <f>IF(ISBLANK(HostBuild[Server Model]),0,IF(HostBuild[Server Tier]="VMware",0,VLOOKUP(HostBuild[Server Tier],[1]!ServerTierRates[#Data],2,0))*HostBuild[CPU]*IF(AND(HostBuild[Server Type]="pSeries",HostBuild[Virtual Platform Storage Type]="Cloud-SAN"),0.25,1))</f>
        <v>608</v>
      </c>
      <c r="FD101" s="66">
        <f>0</f>
        <v>0</v>
      </c>
      <c r="FE101" s="66">
        <f>IF(HostBuild[Server Type]="VMware",HostBuild[RAM 
(GB)]*IF(ISERROR(FIND("DevCloud", HostBuild[Server Model])&gt;0),vRAM_per_vCPU_2014_Monthly,vRAM_per_vCPU_2014_Daily*30),0)</f>
        <v>0</v>
      </c>
      <c r="FF10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0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1" s="69">
        <f>IF(HostBuild[Server Tier]="VMware",0,IF(LEFT(HostBuild[Existing Server?],3)="Yes",0,IF(OR(HostBuild[Server Type]="Sun",HostBuild[Server Type]="pSeries"),Support_Direct_Server_Sun_per_OS_2014,IF(HostBuild[Server Type]="x86",Support_Direct_Server_x86_Wintel_per_OS_2014,0))))</f>
        <v>187.1</v>
      </c>
      <c r="FI10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2" spans="1:165" hidden="1">
      <c r="A102" s="122" t="s">
        <v>53</v>
      </c>
      <c r="B102" s="36"/>
      <c r="C102" s="36"/>
      <c r="D102" s="36"/>
      <c r="E102" s="37"/>
      <c r="F102" s="37"/>
      <c r="G102" s="103"/>
      <c r="H102" s="103"/>
      <c r="I102" s="38"/>
      <c r="J102" s="37"/>
      <c r="K102" s="37"/>
      <c r="L102" s="37"/>
      <c r="M102" s="103" t="e">
        <f ca="1">IF(rngIsDate(HostBuild[CTO Acceptance]),"Y","N")</f>
        <v>#NAME?</v>
      </c>
      <c r="N102" s="123" t="s">
        <v>4</v>
      </c>
      <c r="O102" s="39"/>
      <c r="P102" s="39"/>
      <c r="Q102" s="123" t="s">
        <v>0</v>
      </c>
      <c r="R102" s="126" t="str">
        <f>IF(NOT(ISBLANK(HostBuild[Env Label])),IFERROR(VLOOKUP(HostBuild[Env Label],[1]!tEnv[#Data],3,FALSE),""),"")</f>
        <v/>
      </c>
      <c r="S102" s="104"/>
      <c r="T102" s="40"/>
      <c r="U102" s="105"/>
      <c r="V102" s="123" t="s">
        <v>11</v>
      </c>
      <c r="W102" s="123" t="s">
        <v>190</v>
      </c>
      <c r="X102" s="123" t="s">
        <v>57</v>
      </c>
      <c r="Y102" s="123" t="s">
        <v>188</v>
      </c>
      <c r="Z102" s="126" t="str">
        <f>IF(NOT(ISBLANK(HostBuild[[#This Row],[Product 
(Acronym)]])),CONCATENATE(HostBuild[[#This Row],[Type]],"-",HostBuild[[#This Row],[Product 
(Acronym)]]),"")</f>
        <v>AP-CBOL</v>
      </c>
      <c r="AA102" s="106"/>
      <c r="AB102" s="106" t="s">
        <v>76</v>
      </c>
      <c r="AC102" s="41"/>
      <c r="AD102" s="42"/>
      <c r="AE102" s="42"/>
      <c r="AF102" s="43"/>
      <c r="AG102" s="124"/>
      <c r="AH102" s="107"/>
      <c r="AI102" s="124" t="s">
        <v>12</v>
      </c>
      <c r="AJ102" s="123">
        <f>IF(COUNTIF(HostBuild[Alias],HostBuild[Alias]),1/COUNTIF(HostBuild[Alias],HostBuild[Alias]),0)</f>
        <v>1</v>
      </c>
      <c r="AK102" s="124"/>
      <c r="AL102" s="124"/>
      <c r="AM102" s="44" t="s">
        <v>62</v>
      </c>
      <c r="AN102" s="45" t="str">
        <f>IF(NOT(ISBLANK(HostBuild[Server Model])),VLOOKUP(HostBuild[Server Model],[1]!ServerModelsTier[#Data],2,FALSE),"")</f>
        <v>x86 Tier 3</v>
      </c>
      <c r="AO102" s="45" t="str">
        <f>IF(NOT(ISBLANK(HostBuild[Server Model])),VLOOKUP(HostBuild[Server Model],[1]!ServerModelsTier[#Data],5,FALSE),"")</f>
        <v>x86</v>
      </c>
      <c r="AP102" s="44"/>
      <c r="AQ102" s="44" t="s">
        <v>63</v>
      </c>
      <c r="AR102" s="46">
        <v>2</v>
      </c>
      <c r="AS102" s="108"/>
      <c r="AT102" s="47">
        <v>16</v>
      </c>
      <c r="AU102" s="109" t="str">
        <f>IF(IFERROR(FIND("P-Series",HostBuild[Server Tier]),0),CEILING((HostBuild[Existing CPUs]+HostBuild[CPU])*16,8),"")</f>
        <v/>
      </c>
      <c r="AV102" s="48">
        <v>128</v>
      </c>
      <c r="AW102" s="124"/>
      <c r="AX102" s="124"/>
      <c r="AY102" s="124"/>
      <c r="AZ102" s="49"/>
      <c r="BA102" s="124"/>
      <c r="BB102" s="124"/>
      <c r="BC102" s="42"/>
      <c r="BD102" s="124"/>
      <c r="BE102" s="124"/>
      <c r="BF102" s="124"/>
      <c r="BG102" s="124"/>
      <c r="BH102" s="124"/>
      <c r="BI102" s="124"/>
      <c r="BJ102" s="124"/>
      <c r="BK102"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02" s="127">
        <v>600</v>
      </c>
      <c r="BM102" s="129">
        <f>IF(ISNUMBER(HostBuild[Recommended SAN (GB)]),HostBuild[Recommended SAN (GB)])+IF(HostBuild[Additional SAN (GB)]&gt;0,CEILING(HostBuild[Additional SAN (GB)],LUN),-(CEILING(-HostBuild[Additional SAN (GB)],LUN)))</f>
        <v>808.80000000000007</v>
      </c>
      <c r="BN102" s="128"/>
      <c r="BO102" s="129">
        <f>HostBuild[SAN (GB)
NEEDED TODAY]+CEILING(HostBuild[SAN (GB)
RESERVED
DO NOT USE TO BUILD], LUN)</f>
        <v>808.80000000000007</v>
      </c>
      <c r="BP102" s="130"/>
      <c r="BQ102" s="131"/>
      <c r="BR102" s="125" t="s">
        <v>76</v>
      </c>
      <c r="BS102" s="110">
        <f>IF(HostBuild[Existing Server?]&lt;&gt;"Yes - Inside this BoM",IF(ISNUMBER(HostBuild[RAM 
(GB)]),IF(HostBuild[Existing RAM (GB)]+HostBuild[RAM 
(GB)]&gt;0,IF(HostBuild[Virtual Platform Storage Type]="NAS",110+HostBuild[Existing RAM (GB)]+HostBuild[RAM 
(GB)]*1.75,0),0),0),0)</f>
        <v>0</v>
      </c>
      <c r="BT102" s="111"/>
      <c r="BU102" s="112">
        <f>IF(ISNUMBER(HostBuild[Recommended NAS (GB)]),HostBuild[Recommended NAS (GB)])+HostBuild[Additional NAS (GB)]</f>
        <v>0</v>
      </c>
      <c r="BV102" s="50"/>
      <c r="BW102" s="50"/>
      <c r="BX102" s="133">
        <f>IFERROR((HostBuild[SAN (GB)
End-State
DO NOT USE TO BUILD]+HostBuild[SAN (GB) Shared])*25%,"")</f>
        <v>202.20000000000002</v>
      </c>
      <c r="BY102" s="113">
        <f>IFERROR(HostBuild[Archive
Full (GB)]*15%,"")</f>
        <v>30.330000000000002</v>
      </c>
      <c r="BZ102" s="51"/>
      <c r="CA102" s="51"/>
      <c r="CB102" s="52"/>
      <c r="CC102" s="53"/>
      <c r="CD102" s="52"/>
      <c r="CE102" s="54"/>
      <c r="CF102" s="128"/>
      <c r="CG102" s="114"/>
      <c r="CH102" s="55"/>
      <c r="CI102" s="56"/>
      <c r="CJ102" s="57"/>
      <c r="CK102" s="58"/>
      <c r="CL102" s="59">
        <f>IFERROR(IF(FIND(CL$1,$W102)&gt;0,IF(INDEX([1]!Product_Pricing_Table[#Data],MATCH(CL$1,Products,0),2)="Cores",IF(HostBuild[Use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2" s="59">
        <f>IFERROR(IF(FIND(CM$1,$W102)&gt;0,IF(INDEX([1]!Product_Pricing_Table[#Data],MATCH(CM$1,Products,0),2)="Cores",IF(HostBuild[Use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02" s="59">
        <f>IFERROR(IF(FIND(CN$1,$W102)&gt;0,IF(INDEX([1]!Product_Pricing_Table[#Data],MATCH(CN$1,Products,0),2)="Cores",IF(HostBuild[Use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2" s="59">
        <f>IFERROR(IF(FIND(CO$1,$W102)&gt;0,IF(INDEX([1]!Product_Pricing_Table[#Data],MATCH(CO$1,Products,0),2)="Cores",IF(HostBuild[Use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2" s="59">
        <f>IFERROR(IF(FIND(CP$1,$W102)&gt;0,IF(INDEX([1]!Product_Pricing_Table[#Data],MATCH(CP$1,Products,0),2)="Cores",IF(HostBuild[Use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2" s="59">
        <f>IFERROR(IF(FIND(CQ$1,$W102)&gt;0,IF(INDEX([1]!Product_Pricing_Table[#Data],MATCH(CQ$1,Products,0),2)="Cores",IF(HostBuild[Use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2" s="59">
        <f>IFERROR(IF(FIND(CR$1,$W102)&gt;0,IF(INDEX([1]!Product_Pricing_Table[#Data],MATCH(CR$1,Products,0),2)="Cores",IF(HostBuild[Use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2" s="59">
        <f>IFERROR(IF(FIND(CS$1,$W102)&gt;0,IF(INDEX([1]!Product_Pricing_Table[#Data],MATCH(CS$1,Products,0),2)="Cores",IF(HostBuild[Use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2" s="59">
        <f>IFERROR(IF(FIND(CT$1,$W102)&gt;0,IF(INDEX([1]!Product_Pricing_Table[#Data],MATCH(CT$1,Products,0),2)="Cores",IF(HostBuild[Use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2" s="59">
        <f>IFERROR(IF(FIND(CU$1,$W102)&gt;0,IF(INDEX([1]!Product_Pricing_Table[#Data],MATCH(CU$1,Products,0),2)="Cores",IF(HostBuild[Use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02" s="59">
        <f>IFERROR(IF(FIND(CV$1,$W102)&gt;0,IF(INDEX([1]!Product_Pricing_Table[#Data],MATCH(CV$1,Products,0),2)="Cores",IF(HostBuild[Use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2" s="59">
        <f>IFERROR(IF(FIND(CW$1,$W102)&gt;0,IF(INDEX([1]!Product_Pricing_Table[#Data],MATCH(CW$1,Products,0),2)="Cores",IF(HostBuild[Use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2" s="59">
        <f>IFERROR(IF(FIND(CX$1,$W102)&gt;0,IF(INDEX([1]!Product_Pricing_Table[#Data],MATCH(CX$1,Products,0),2)="Cores",IF(HostBuild[Use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02" s="59">
        <f>IFERROR(IF(FIND(CY$1,$W102)&gt;0,IF(INDEX([1]!Product_Pricing_Table[#Data],MATCH(CY$1,Products,0),2)="Cores",IF(HostBuild[Use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2" s="59">
        <f>IFERROR(IF(FIND(CZ$1,$W102)&gt;0,IF(INDEX([1]!Product_Pricing_Table[#Data],MATCH(CZ$1,Products,0),2)="Cores",IF(HostBuild[Use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2" s="59">
        <f>IFERROR(IF(FIND(DA$1,$W102)&gt;0,IF(INDEX([1]!Product_Pricing_Table[#Data],MATCH(DA$1,Products,0),2)="Cores",IF(HostBuild[Use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2" s="59">
        <f>IFERROR(IF(FIND(DB$1,$W102)&gt;0,IF(INDEX([1]!Product_Pricing_Table[#Data],MATCH(DB$1,Products,0),2)="Cores",IF(HostBuild[Use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2" s="59">
        <f>IFERROR(IF(FIND(DC$1,$W102)&gt;0,IF(INDEX([1]!Product_Pricing_Table[#Data],MATCH(DC$1,Products,0),2)="Cores",IF(HostBuild[Use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2" s="59">
        <f>IFERROR(IF(FIND(DD$1,$W102)&gt;0,IF(INDEX([1]!Product_Pricing_Table[#Data],MATCH(DD$1,Products,0),2)="Cores",IF(HostBuild[Use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2" s="59">
        <f>IFERROR(IF(FIND(DE$1,$W102)&gt;0,IF(INDEX([1]!Product_Pricing_Table[#Data],MATCH(DE$1,Products,0),2)="Cores",IF(HostBuild[Use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2" s="60">
        <f>IFERROR(IF(FIND(DF$1,$W102)&gt;0,IF(INDEX([1]!Product_Pricing_Table[#Data],MATCH(DF$1,Products,0),2)="Cores",IF(HostBuild[Use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2" s="60">
        <f>IFERROR(IF(FIND(DG$1,$W102)&gt;0,IF(INDEX([1]!Product_Pricing_Table[#Data],MATCH(DG$1,Products,0),2)="Cores",IF(HostBuild[Use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2" s="59">
        <f>IFERROR(IF(FIND(DH$1,$W102)&gt;0,IF(INDEX([1]!Product_Pricing_Table[#Data],MATCH(DH$1,Products,0),2)="Cores",IF(HostBuild[Use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2" s="60">
        <f>IFERROR(IF(FIND(DI$1,$W102)&gt;0,IF(INDEX([1]!Product_Pricing_Table[#Data],MATCH(DI$1,Products,0),2)="Cores",IF(HostBuild[Use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2" s="59">
        <f>IFERROR(IF(FIND(DJ$1,$W102)&gt;0,IF(INDEX([1]!Product_Pricing_Table[#Data],MATCH(DJ$1,Products,0),2)="Cores",IF(HostBuild[Use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2" s="59">
        <f>IFERROR(IF(FIND(DK$1,$W102)&gt;0,IF(INDEX([1]!Product_Pricing_Table[#Data],MATCH(DK$1,Products,0),2)="Cores",IF(HostBuild[Use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2" s="59">
        <f>IFERROR(IF(FIND(DL$1,$W102)&gt;0,IF(INDEX([1]!Product_Pricing_Table[#Data],MATCH(DL$1,Products,0),2)="Cores",IF(HostBuild[Use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2" s="59">
        <f>IFERROR(IF(FIND(DM$1,$W102)&gt;0,IF(INDEX([1]!Product_Pricing_Table[#Data],MATCH(DM$1,Products,0),2)="Cores",IF(HostBuild[Use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2" s="59">
        <f>IFERROR(IF(FIND(DN$1,$W102)&gt;0,IF(INDEX([1]!Product_Pricing_Table[#Data],MATCH(DN$1,Products,0),2)="Cores",IF(HostBuild[Use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2" s="59">
        <f>IFERROR(IF(FIND(DO$1,$W102)&gt;0,IF(INDEX([1]!Product_Pricing_Table[#Data],MATCH(DO$1,Products,0),2)="Cores",IF(HostBuild[Use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2" s="59">
        <f>IFERROR(IF(FIND(DP$1,$W102)&gt;0,IF(INDEX([1]!Product_Pricing_Table[#Data],MATCH(DP$1,Products,0),2)="Cores",IF(HostBuild[Use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2" s="59">
        <f>IFERROR(IF(FIND(DQ$1,$W102)&gt;0,IF(INDEX([1]!Product_Pricing_Table[#Data],MATCH(DQ$1,Products,0),2)="Cores",IF(HostBuild[Use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2" s="59">
        <f>IFERROR(IF(FIND(DR$1,$W102)&gt;0,IF(INDEX([1]!Product_Pricing_Table[#Data],MATCH(DR$1,Products,0),2)="Cores",IF(HostBuild[Use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2" s="59">
        <f>IFERROR(IF(FIND(DS$1,$W102)&gt;0,IF(INDEX([1]!Product_Pricing_Table[#Data],MATCH(DS$1,Products,0),2)="Cores",IF(HostBuild[Use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2" s="59">
        <f>IFERROR(IF(FIND(DT$1,$W102)&gt;0,IF(INDEX([1]!Product_Pricing_Table[#Data],MATCH(DT$1,Products,0),2)="Cores",IF(HostBuild[Use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2" s="59">
        <f>IFERROR(IF(FIND(DU$1,$W102)&gt;0,IF(INDEX([1]!Product_Pricing_Table[#Data],MATCH(DU$1,Products,0),2)="Cores",IF(HostBuild[Use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2" s="59">
        <f>IFERROR(IF(FIND(DV$1,$W102)&gt;0,IF(INDEX([1]!Product_Pricing_Table[#Data],MATCH(DV$1,Products,0),2)="Cores",IF(HostBuild[Use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2" s="59">
        <f>IFERROR(IF(FIND(DW$1,$W102)&gt;0,IF(INDEX([1]!Product_Pricing_Table[#Data],MATCH(DW$1,Products,0),2)="Cores",IF(HostBuild[Use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2" s="59">
        <f>IFERROR(IF(FIND(DX$1,$W102)&gt;0,IF(INDEX([1]!Product_Pricing_Table[#Data],MATCH(DX$1,Products,0),2)="Cores",IF(HostBuild[Use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2" s="59">
        <f>IFERROR(IF(FIND(DY$1,$W102)&gt;0,IF(INDEX([1]!Product_Pricing_Table[#Data],MATCH(DY$1,Products,0),2)="Cores",IF(HostBuild[Use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2" s="59">
        <f>IFERROR(IF(FIND(DZ$1,$W102)&gt;0,IF(INDEX([1]!Product_Pricing_Table[#Data],MATCH(DZ$1,Products,0),2)="Cores",IF(HostBuild[Use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2" s="59">
        <f>IFERROR(IF(FIND(EA$1,$W102)&gt;0,IF(INDEX([1]!Product_Pricing_Table[#Data],MATCH(EA$1,Products,0),2)="Cores",IF(HostBuild[Use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2" s="59">
        <f>IFERROR(IF(FIND(EB$1,$W102)&gt;0,IF(INDEX([1]!Product_Pricing_Table[#Data],MATCH(EB$1,Products,0),2)="Cores",IF(HostBuild[Use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2" s="60">
        <f>IFERROR(IF(FIND(EC$1,$W102)&gt;0,IF(INDEX([1]!Product_Pricing_Table[#Data],MATCH(EC$1,Products,0),2)="Cores",IF(HostBuild[Use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2" s="59">
        <f>IFERROR(IF(FIND(ED$1,$W102)&gt;0,IF(INDEX([1]!Product_Pricing_Table[#Data],MATCH(ED$1,Products,0),2)="Cores",IF(HostBuild[Use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2" s="59">
        <f>IFERROR(IF(FIND(EE$1,$W102)&gt;0,IF(INDEX([1]!Product_Pricing_Table[#Data],MATCH(EE$1,Products,0),2)="Cores",IF(HostBuild[Use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2" s="59">
        <f>IFERROR(IF(FIND(EF$1,$W102)&gt;0,IF(INDEX([1]!Product_Pricing_Table[#Data],MATCH(EF$1,Products,0),2)="Cores",IF(HostBuild[Use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2" s="59">
        <f>IFERROR(IF(FIND(EG$1,$W102)&gt;0,IF(INDEX([1]!Product_Pricing_Table[#Data],MATCH(EG$1,Products,0),2)="Cores",IF(HostBuild[Use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2" s="59">
        <f>IFERROR(IF(FIND(EH$1,$W102)&gt;0,IF(INDEX([1]!Product_Pricing_Table[#Data],MATCH(EH$1,Products,0),2)="Cores",IF(HostBuild[Use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2" s="59">
        <f>IFERROR(IF(FIND(EI$1,$W102)&gt;0,IF(INDEX([1]!Product_Pricing_Table[#Data],MATCH(EI$1,Products,0),2)="Cores",IF(HostBuild[Use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2" s="59">
        <f>IFERROR(IF(FIND(EJ$1,$W102)&gt;0,IF(INDEX([1]!Product_Pricing_Table[#Data],MATCH(EJ$1,Products,0),2)="Cores",IF(HostBuild[Use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2" s="60">
        <f>IFERROR(IF(FIND(EK$1,$W102)&gt;0,IF(INDEX([1]!Product_Pricing_Table[#Data],MATCH(EK$1,Products,0),2)="Cores",IF(HostBuild[Use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2" s="61"/>
      <c r="EM102" s="62">
        <v>0</v>
      </c>
      <c r="EN102" s="63">
        <v>0</v>
      </c>
      <c r="EO102"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0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02" s="132">
        <f>(HostBuild[Archive
Full (GB)]+HostBuild[Archive
Incr (GB)])*Storage_DC_Dist_Tape_2014</f>
        <v>81.385500000000008</v>
      </c>
      <c r="ER102" s="132">
        <f>IF(ISNUMBER(HostBuild[Server HW Costs
(Monthly)]),SUM(HostBuild[[#This Row],[Server HW Costs
(Monthly)]:[Tape Costs
(Monthly)]]),0)</f>
        <v>1334.0455000000002</v>
      </c>
      <c r="ES102" s="65">
        <f>HostBuild[Software Costs
'[Year 1']
(Monthly)]+HostBuild[Total Hardware Costs
(Monthly)]</f>
        <v>1334.0455000000002</v>
      </c>
      <c r="ET102" s="65">
        <f>IFERROR(IF(FIND("Safenet",HostBuild[Server Model]),Safenet_PSE_PL600_Maint,0),0)+IFERROR(IF(FIND("XI52",HostBuild[Server Model]),IBM_DIA_XI52_Maint,0),0)+HostBuild[Software Costs
'[After Year 1']
(Monthly)]+HostBuild[Total Hardware Costs
(Monthly)]</f>
        <v>1334.0455000000002</v>
      </c>
      <c r="EU102" s="66">
        <f>SUM(HostBuild[[#This Row],[Server Cost Breakdown]:[Network Cost]])</f>
        <v>888.7</v>
      </c>
      <c r="EV102" s="67">
        <f>IF(HostBuild[Existing Server?]="Yes - Inside this BoM",0,SUMIF(HostBuild[Alias],HostBuild[Alias],HostBuild[CPU])+SUMIF(HostBuild[Alias],HostBuild[Alias],HostBuild[Existing CPUs]))</f>
        <v>2</v>
      </c>
      <c r="EW102" s="67">
        <f>IF(HostBuild[Existing Server?]="Yes - Inside this BoM",0,SUMIF(HostBuild[Alias],HostBuild[Alias],HostBuild[Cores 
(Licensed Units)])+SUMIF(HostBuild[Alias],HostBuild[Alias],HostBuild[Existing Cores]))</f>
        <v>16</v>
      </c>
      <c r="EX102" s="67">
        <f>IF(HostBuild[Existing Server?]="Yes - Inside this BoM",0,SUMIF(HostBuild[Alias],HostBuild[Alias],HostBuild[RAM 
(GB)])+SUMIF(HostBuild[Alias],HostBuild[Alias],HostBuild[Existing RAM (GB)]))</f>
        <v>128</v>
      </c>
      <c r="EY10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2" s="66">
        <f>IF(ISBLANK(HostBuild[Server Model]),0,IF(HostBuild[Server Tier]="VMware",0,VLOOKUP(HostBuild[Server Tier],[1]!ServerTierRates[#Data],2,0))*HostBuild[CPU]*IF(AND(HostBuild[Server Type]="pSeries",HostBuild[Virtual Platform Storage Type]="Cloud-SAN"),0.25,1))</f>
        <v>608</v>
      </c>
      <c r="FD102" s="66">
        <f>0</f>
        <v>0</v>
      </c>
      <c r="FE102" s="66">
        <f>IF(HostBuild[Server Type]="VMware",HostBuild[RAM 
(GB)]*IF(ISERROR(FIND("DevCloud", HostBuild[Server Model])&gt;0),vRAM_per_vCPU_2014_Monthly,vRAM_per_vCPU_2014_Daily*30),0)</f>
        <v>0</v>
      </c>
      <c r="FF10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0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2" s="69">
        <f>IF(HostBuild[Server Tier]="VMware",0,IF(LEFT(HostBuild[Existing Server?],3)="Yes",0,IF(OR(HostBuild[Server Type]="Sun",HostBuild[Server Type]="pSeries"),Support_Direct_Server_Sun_per_OS_2014,IF(HostBuild[Server Type]="x86",Support_Direct_Server_x86_Wintel_per_OS_2014,0))))</f>
        <v>187.1</v>
      </c>
      <c r="FI10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3" spans="1:165" hidden="1">
      <c r="A103" s="122" t="s">
        <v>53</v>
      </c>
      <c r="B103" s="36"/>
      <c r="C103" s="36"/>
      <c r="D103" s="36"/>
      <c r="E103" s="37"/>
      <c r="F103" s="37"/>
      <c r="G103" s="103"/>
      <c r="H103" s="103"/>
      <c r="I103" s="38"/>
      <c r="J103" s="37"/>
      <c r="K103" s="37"/>
      <c r="L103" s="37"/>
      <c r="M103" s="103" t="e">
        <f ca="1">IF(rngIsDate(HostBuild[CTO Acceptance]),"Y","N")</f>
        <v>#NAME?</v>
      </c>
      <c r="N103" s="123" t="s">
        <v>3</v>
      </c>
      <c r="O103" s="39"/>
      <c r="P103" s="39"/>
      <c r="Q103" s="123" t="s">
        <v>189</v>
      </c>
      <c r="R103" s="126" t="str">
        <f>IF(NOT(ISBLANK(HostBuild[Env Label])),IFERROR(VLOOKUP(HostBuild[Env Label],[1]!tEnv[#Data],3,FALSE),""),"")</f>
        <v/>
      </c>
      <c r="S103" s="104"/>
      <c r="T103" s="40"/>
      <c r="U103" s="105"/>
      <c r="V103" s="123" t="s">
        <v>11</v>
      </c>
      <c r="W103" s="123" t="s">
        <v>190</v>
      </c>
      <c r="X103" s="123" t="s">
        <v>57</v>
      </c>
      <c r="Y103" s="123" t="s">
        <v>188</v>
      </c>
      <c r="Z103" s="126" t="str">
        <f>IF(NOT(ISBLANK(HostBuild[[#This Row],[Product 
(Acronym)]])),CONCATENATE(HostBuild[[#This Row],[Type]],"-",HostBuild[[#This Row],[Product 
(Acronym)]]),"")</f>
        <v>AP-CBOL</v>
      </c>
      <c r="AA103" s="106"/>
      <c r="AB103" s="106" t="s">
        <v>76</v>
      </c>
      <c r="AC103" s="41"/>
      <c r="AD103" s="42"/>
      <c r="AE103" s="42"/>
      <c r="AF103" s="43"/>
      <c r="AG103" s="124"/>
      <c r="AH103" s="107"/>
      <c r="AI103" s="124" t="s">
        <v>14</v>
      </c>
      <c r="AJ103" s="123">
        <f>IF(COUNTIF(HostBuild[Alias],HostBuild[Alias]),1/COUNTIF(HostBuild[Alias],HostBuild[Alias]),0)</f>
        <v>1</v>
      </c>
      <c r="AK103" s="124"/>
      <c r="AL103" s="124"/>
      <c r="AM103" s="44" t="s">
        <v>62</v>
      </c>
      <c r="AN103" s="45" t="str">
        <f>IF(NOT(ISBLANK(HostBuild[Server Model])),VLOOKUP(HostBuild[Server Model],[1]!ServerModelsTier[#Data],2,FALSE),"")</f>
        <v>x86 Tier 3</v>
      </c>
      <c r="AO103" s="45" t="str">
        <f>IF(NOT(ISBLANK(HostBuild[Server Model])),VLOOKUP(HostBuild[Server Model],[1]!ServerModelsTier[#Data],5,FALSE),"")</f>
        <v>x86</v>
      </c>
      <c r="AP103" s="44"/>
      <c r="AQ103" s="44" t="s">
        <v>63</v>
      </c>
      <c r="AR103" s="46">
        <v>2</v>
      </c>
      <c r="AS103" s="108"/>
      <c r="AT103" s="47">
        <v>16</v>
      </c>
      <c r="AU103" s="109" t="str">
        <f>IF(IFERROR(FIND("P-Series",HostBuild[Server Tier]),0),CEILING((HostBuild[Existing CPUs]+HostBuild[CPU])*16,8),"")</f>
        <v/>
      </c>
      <c r="AV103" s="48">
        <v>128</v>
      </c>
      <c r="AW103" s="124"/>
      <c r="AX103" s="124"/>
      <c r="AY103" s="124"/>
      <c r="AZ103" s="49"/>
      <c r="BA103" s="124"/>
      <c r="BB103" s="124"/>
      <c r="BC103" s="42"/>
      <c r="BD103" s="124"/>
      <c r="BE103" s="124"/>
      <c r="BF103" s="124"/>
      <c r="BG103" s="124"/>
      <c r="BH103" s="124"/>
      <c r="BI103" s="124"/>
      <c r="BJ103" s="124"/>
      <c r="BK103"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03" s="127">
        <v>600</v>
      </c>
      <c r="BM103" s="129">
        <f>IF(ISNUMBER(HostBuild[Recommended SAN (GB)]),HostBuild[Recommended SAN (GB)])+IF(HostBuild[Additional SAN (GB)]&gt;0,CEILING(HostBuild[Additional SAN (GB)],LUN),-(CEILING(-HostBuild[Additional SAN (GB)],LUN)))</f>
        <v>808.80000000000007</v>
      </c>
      <c r="BN103" s="128"/>
      <c r="BO103" s="129">
        <f>HostBuild[SAN (GB)
NEEDED TODAY]+CEILING(HostBuild[SAN (GB)
RESERVED
DO NOT USE TO BUILD], LUN)</f>
        <v>808.80000000000007</v>
      </c>
      <c r="BP103" s="130"/>
      <c r="BQ103" s="131"/>
      <c r="BR103" s="125" t="s">
        <v>76</v>
      </c>
      <c r="BS103" s="110">
        <f>IF(HostBuild[Existing Server?]&lt;&gt;"Yes - Inside this BoM",IF(ISNUMBER(HostBuild[RAM 
(GB)]),IF(HostBuild[Existing RAM (GB)]+HostBuild[RAM 
(GB)]&gt;0,IF(HostBuild[Virtual Platform Storage Type]="NAS",110+HostBuild[Existing RAM (GB)]+HostBuild[RAM 
(GB)]*1.75,0),0),0),0)</f>
        <v>0</v>
      </c>
      <c r="BT103" s="111"/>
      <c r="BU103" s="112">
        <f>IF(ISNUMBER(HostBuild[Recommended NAS (GB)]),HostBuild[Recommended NAS (GB)])+HostBuild[Additional NAS (GB)]</f>
        <v>0</v>
      </c>
      <c r="BV103" s="50"/>
      <c r="BW103" s="50"/>
      <c r="BX103" s="133">
        <f>IFERROR((HostBuild[SAN (GB)
End-State
DO NOT USE TO BUILD]+HostBuild[SAN (GB) Shared])*25%,"")</f>
        <v>202.20000000000002</v>
      </c>
      <c r="BY103" s="113">
        <f>IFERROR(HostBuild[Archive
Full (GB)]*15%,"")</f>
        <v>30.330000000000002</v>
      </c>
      <c r="BZ103" s="51"/>
      <c r="CA103" s="51"/>
      <c r="CB103" s="52"/>
      <c r="CC103" s="53"/>
      <c r="CD103" s="52"/>
      <c r="CE103" s="54"/>
      <c r="CF103" s="128"/>
      <c r="CG103" s="114"/>
      <c r="CH103" s="55"/>
      <c r="CI103" s="56"/>
      <c r="CJ103" s="57"/>
      <c r="CK103" s="58"/>
      <c r="CL103" s="59">
        <f>IFERROR(IF(FIND(CL$1,$W103)&gt;0,IF(INDEX([1]!Product_Pricing_Table[#Data],MATCH(CL$1,Products,0),2)="Cores",IF(HostBuild[Use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3" s="59">
        <f>IFERROR(IF(FIND(CM$1,$W103)&gt;0,IF(INDEX([1]!Product_Pricing_Table[#Data],MATCH(CM$1,Products,0),2)="Cores",IF(HostBuild[Use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03" s="59">
        <f>IFERROR(IF(FIND(CN$1,$W103)&gt;0,IF(INDEX([1]!Product_Pricing_Table[#Data],MATCH(CN$1,Products,0),2)="Cores",IF(HostBuild[Use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3" s="59">
        <f>IFERROR(IF(FIND(CO$1,$W103)&gt;0,IF(INDEX([1]!Product_Pricing_Table[#Data],MATCH(CO$1,Products,0),2)="Cores",IF(HostBuild[Use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3" s="59">
        <f>IFERROR(IF(FIND(CP$1,$W103)&gt;0,IF(INDEX([1]!Product_Pricing_Table[#Data],MATCH(CP$1,Products,0),2)="Cores",IF(HostBuild[Use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3" s="59">
        <f>IFERROR(IF(FIND(CQ$1,$W103)&gt;0,IF(INDEX([1]!Product_Pricing_Table[#Data],MATCH(CQ$1,Products,0),2)="Cores",IF(HostBuild[Use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3" s="59">
        <f>IFERROR(IF(FIND(CR$1,$W103)&gt;0,IF(INDEX([1]!Product_Pricing_Table[#Data],MATCH(CR$1,Products,0),2)="Cores",IF(HostBuild[Use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3" s="59">
        <f>IFERROR(IF(FIND(CS$1,$W103)&gt;0,IF(INDEX([1]!Product_Pricing_Table[#Data],MATCH(CS$1,Products,0),2)="Cores",IF(HostBuild[Use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3" s="59">
        <f>IFERROR(IF(FIND(CT$1,$W103)&gt;0,IF(INDEX([1]!Product_Pricing_Table[#Data],MATCH(CT$1,Products,0),2)="Cores",IF(HostBuild[Use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3" s="59">
        <f>IFERROR(IF(FIND(CU$1,$W103)&gt;0,IF(INDEX([1]!Product_Pricing_Table[#Data],MATCH(CU$1,Products,0),2)="Cores",IF(HostBuild[Use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03" s="59">
        <f>IFERROR(IF(FIND(CV$1,$W103)&gt;0,IF(INDEX([1]!Product_Pricing_Table[#Data],MATCH(CV$1,Products,0),2)="Cores",IF(HostBuild[Use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3" s="59">
        <f>IFERROR(IF(FIND(CW$1,$W103)&gt;0,IF(INDEX([1]!Product_Pricing_Table[#Data],MATCH(CW$1,Products,0),2)="Cores",IF(HostBuild[Use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3" s="59">
        <f>IFERROR(IF(FIND(CX$1,$W103)&gt;0,IF(INDEX([1]!Product_Pricing_Table[#Data],MATCH(CX$1,Products,0),2)="Cores",IF(HostBuild[Use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03" s="59">
        <f>IFERROR(IF(FIND(CY$1,$W103)&gt;0,IF(INDEX([1]!Product_Pricing_Table[#Data],MATCH(CY$1,Products,0),2)="Cores",IF(HostBuild[Use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3" s="59">
        <f>IFERROR(IF(FIND(CZ$1,$W103)&gt;0,IF(INDEX([1]!Product_Pricing_Table[#Data],MATCH(CZ$1,Products,0),2)="Cores",IF(HostBuild[Use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3" s="59">
        <f>IFERROR(IF(FIND(DA$1,$W103)&gt;0,IF(INDEX([1]!Product_Pricing_Table[#Data],MATCH(DA$1,Products,0),2)="Cores",IF(HostBuild[Use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3" s="59">
        <f>IFERROR(IF(FIND(DB$1,$W103)&gt;0,IF(INDEX([1]!Product_Pricing_Table[#Data],MATCH(DB$1,Products,0),2)="Cores",IF(HostBuild[Use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3" s="59">
        <f>IFERROR(IF(FIND(DC$1,$W103)&gt;0,IF(INDEX([1]!Product_Pricing_Table[#Data],MATCH(DC$1,Products,0),2)="Cores",IF(HostBuild[Use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3" s="59">
        <f>IFERROR(IF(FIND(DD$1,$W103)&gt;0,IF(INDEX([1]!Product_Pricing_Table[#Data],MATCH(DD$1,Products,0),2)="Cores",IF(HostBuild[Use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3" s="59">
        <f>IFERROR(IF(FIND(DE$1,$W103)&gt;0,IF(INDEX([1]!Product_Pricing_Table[#Data],MATCH(DE$1,Products,0),2)="Cores",IF(HostBuild[Use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3" s="60">
        <f>IFERROR(IF(FIND(DF$1,$W103)&gt;0,IF(INDEX([1]!Product_Pricing_Table[#Data],MATCH(DF$1,Products,0),2)="Cores",IF(HostBuild[Use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3" s="60">
        <f>IFERROR(IF(FIND(DG$1,$W103)&gt;0,IF(INDEX([1]!Product_Pricing_Table[#Data],MATCH(DG$1,Products,0),2)="Cores",IF(HostBuild[Use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3" s="59">
        <f>IFERROR(IF(FIND(DH$1,$W103)&gt;0,IF(INDEX([1]!Product_Pricing_Table[#Data],MATCH(DH$1,Products,0),2)="Cores",IF(HostBuild[Use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3" s="60">
        <f>IFERROR(IF(FIND(DI$1,$W103)&gt;0,IF(INDEX([1]!Product_Pricing_Table[#Data],MATCH(DI$1,Products,0),2)="Cores",IF(HostBuild[Use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3" s="59">
        <f>IFERROR(IF(FIND(DJ$1,$W103)&gt;0,IF(INDEX([1]!Product_Pricing_Table[#Data],MATCH(DJ$1,Products,0),2)="Cores",IF(HostBuild[Use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3" s="59">
        <f>IFERROR(IF(FIND(DK$1,$W103)&gt;0,IF(INDEX([1]!Product_Pricing_Table[#Data],MATCH(DK$1,Products,0),2)="Cores",IF(HostBuild[Use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3" s="59">
        <f>IFERROR(IF(FIND(DL$1,$W103)&gt;0,IF(INDEX([1]!Product_Pricing_Table[#Data],MATCH(DL$1,Products,0),2)="Cores",IF(HostBuild[Use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3" s="59">
        <f>IFERROR(IF(FIND(DM$1,$W103)&gt;0,IF(INDEX([1]!Product_Pricing_Table[#Data],MATCH(DM$1,Products,0),2)="Cores",IF(HostBuild[Use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3" s="59">
        <f>IFERROR(IF(FIND(DN$1,$W103)&gt;0,IF(INDEX([1]!Product_Pricing_Table[#Data],MATCH(DN$1,Products,0),2)="Cores",IF(HostBuild[Use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3" s="59">
        <f>IFERROR(IF(FIND(DO$1,$W103)&gt;0,IF(INDEX([1]!Product_Pricing_Table[#Data],MATCH(DO$1,Products,0),2)="Cores",IF(HostBuild[Use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3" s="59">
        <f>IFERROR(IF(FIND(DP$1,$W103)&gt;0,IF(INDEX([1]!Product_Pricing_Table[#Data],MATCH(DP$1,Products,0),2)="Cores",IF(HostBuild[Use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3" s="59">
        <f>IFERROR(IF(FIND(DQ$1,$W103)&gt;0,IF(INDEX([1]!Product_Pricing_Table[#Data],MATCH(DQ$1,Products,0),2)="Cores",IF(HostBuild[Use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3" s="59">
        <f>IFERROR(IF(FIND(DR$1,$W103)&gt;0,IF(INDEX([1]!Product_Pricing_Table[#Data],MATCH(DR$1,Products,0),2)="Cores",IF(HostBuild[Use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3" s="59">
        <f>IFERROR(IF(FIND(DS$1,$W103)&gt;0,IF(INDEX([1]!Product_Pricing_Table[#Data],MATCH(DS$1,Products,0),2)="Cores",IF(HostBuild[Use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3" s="59">
        <f>IFERROR(IF(FIND(DT$1,$W103)&gt;0,IF(INDEX([1]!Product_Pricing_Table[#Data],MATCH(DT$1,Products,0),2)="Cores",IF(HostBuild[Use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3" s="59">
        <f>IFERROR(IF(FIND(DU$1,$W103)&gt;0,IF(INDEX([1]!Product_Pricing_Table[#Data],MATCH(DU$1,Products,0),2)="Cores",IF(HostBuild[Use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3" s="59">
        <f>IFERROR(IF(FIND(DV$1,$W103)&gt;0,IF(INDEX([1]!Product_Pricing_Table[#Data],MATCH(DV$1,Products,0),2)="Cores",IF(HostBuild[Use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3" s="59">
        <f>IFERROR(IF(FIND(DW$1,$W103)&gt;0,IF(INDEX([1]!Product_Pricing_Table[#Data],MATCH(DW$1,Products,0),2)="Cores",IF(HostBuild[Use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3" s="59">
        <f>IFERROR(IF(FIND(DX$1,$W103)&gt;0,IF(INDEX([1]!Product_Pricing_Table[#Data],MATCH(DX$1,Products,0),2)="Cores",IF(HostBuild[Use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3" s="59">
        <f>IFERROR(IF(FIND(DY$1,$W103)&gt;0,IF(INDEX([1]!Product_Pricing_Table[#Data],MATCH(DY$1,Products,0),2)="Cores",IF(HostBuild[Use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3" s="59">
        <f>IFERROR(IF(FIND(DZ$1,$W103)&gt;0,IF(INDEX([1]!Product_Pricing_Table[#Data],MATCH(DZ$1,Products,0),2)="Cores",IF(HostBuild[Use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3" s="59">
        <f>IFERROR(IF(FIND(EA$1,$W103)&gt;0,IF(INDEX([1]!Product_Pricing_Table[#Data],MATCH(EA$1,Products,0),2)="Cores",IF(HostBuild[Use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3" s="59">
        <f>IFERROR(IF(FIND(EB$1,$W103)&gt;0,IF(INDEX([1]!Product_Pricing_Table[#Data],MATCH(EB$1,Products,0),2)="Cores",IF(HostBuild[Use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3" s="60">
        <f>IFERROR(IF(FIND(EC$1,$W103)&gt;0,IF(INDEX([1]!Product_Pricing_Table[#Data],MATCH(EC$1,Products,0),2)="Cores",IF(HostBuild[Use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3" s="59">
        <f>IFERROR(IF(FIND(ED$1,$W103)&gt;0,IF(INDEX([1]!Product_Pricing_Table[#Data],MATCH(ED$1,Products,0),2)="Cores",IF(HostBuild[Use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3" s="59">
        <f>IFERROR(IF(FIND(EE$1,$W103)&gt;0,IF(INDEX([1]!Product_Pricing_Table[#Data],MATCH(EE$1,Products,0),2)="Cores",IF(HostBuild[Use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3" s="59">
        <f>IFERROR(IF(FIND(EF$1,$W103)&gt;0,IF(INDEX([1]!Product_Pricing_Table[#Data],MATCH(EF$1,Products,0),2)="Cores",IF(HostBuild[Use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3" s="59">
        <f>IFERROR(IF(FIND(EG$1,$W103)&gt;0,IF(INDEX([1]!Product_Pricing_Table[#Data],MATCH(EG$1,Products,0),2)="Cores",IF(HostBuild[Use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3" s="59">
        <f>IFERROR(IF(FIND(EH$1,$W103)&gt;0,IF(INDEX([1]!Product_Pricing_Table[#Data],MATCH(EH$1,Products,0),2)="Cores",IF(HostBuild[Use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3" s="59">
        <f>IFERROR(IF(FIND(EI$1,$W103)&gt;0,IF(INDEX([1]!Product_Pricing_Table[#Data],MATCH(EI$1,Products,0),2)="Cores",IF(HostBuild[Use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3" s="59">
        <f>IFERROR(IF(FIND(EJ$1,$W103)&gt;0,IF(INDEX([1]!Product_Pricing_Table[#Data],MATCH(EJ$1,Products,0),2)="Cores",IF(HostBuild[Use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3" s="60">
        <f>IFERROR(IF(FIND(EK$1,$W103)&gt;0,IF(INDEX([1]!Product_Pricing_Table[#Data],MATCH(EK$1,Products,0),2)="Cores",IF(HostBuild[Use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3" s="61"/>
      <c r="EM103" s="62">
        <v>0</v>
      </c>
      <c r="EN103" s="63">
        <v>0</v>
      </c>
      <c r="EO103"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0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03" s="132">
        <f>(HostBuild[Archive
Full (GB)]+HostBuild[Archive
Incr (GB)])*Storage_DC_Dist_Tape_2014</f>
        <v>81.385500000000008</v>
      </c>
      <c r="ER103" s="132">
        <f>IF(ISNUMBER(HostBuild[Server HW Costs
(Monthly)]),SUM(HostBuild[[#This Row],[Server HW Costs
(Monthly)]:[Tape Costs
(Monthly)]]),0)</f>
        <v>1334.0455000000002</v>
      </c>
      <c r="ES103" s="65">
        <f>HostBuild[Software Costs
'[Year 1']
(Monthly)]+HostBuild[Total Hardware Costs
(Monthly)]</f>
        <v>1334.0455000000002</v>
      </c>
      <c r="ET103" s="65">
        <f>IFERROR(IF(FIND("Safenet",HostBuild[Server Model]),Safenet_PSE_PL600_Maint,0),0)+IFERROR(IF(FIND("XI52",HostBuild[Server Model]),IBM_DIA_XI52_Maint,0),0)+HostBuild[Software Costs
'[After Year 1']
(Monthly)]+HostBuild[Total Hardware Costs
(Monthly)]</f>
        <v>1334.0455000000002</v>
      </c>
      <c r="EU103" s="66">
        <f>SUM(HostBuild[[#This Row],[Server Cost Breakdown]:[Network Cost]])</f>
        <v>888.7</v>
      </c>
      <c r="EV103" s="67">
        <f>IF(HostBuild[Existing Server?]="Yes - Inside this BoM",0,SUMIF(HostBuild[Alias],HostBuild[Alias],HostBuild[CPU])+SUMIF(HostBuild[Alias],HostBuild[Alias],HostBuild[Existing CPUs]))</f>
        <v>2</v>
      </c>
      <c r="EW103" s="67">
        <f>IF(HostBuild[Existing Server?]="Yes - Inside this BoM",0,SUMIF(HostBuild[Alias],HostBuild[Alias],HostBuild[Cores 
(Licensed Units)])+SUMIF(HostBuild[Alias],HostBuild[Alias],HostBuild[Existing Cores]))</f>
        <v>16</v>
      </c>
      <c r="EX103" s="67">
        <f>IF(HostBuild[Existing Server?]="Yes - Inside this BoM",0,SUMIF(HostBuild[Alias],HostBuild[Alias],HostBuild[RAM 
(GB)])+SUMIF(HostBuild[Alias],HostBuild[Alias],HostBuild[Existing RAM (GB)]))</f>
        <v>128</v>
      </c>
      <c r="EY10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3" s="66">
        <f>IF(ISBLANK(HostBuild[Server Model]),0,IF(HostBuild[Server Tier]="VMware",0,VLOOKUP(HostBuild[Server Tier],[1]!ServerTierRates[#Data],2,0))*HostBuild[CPU]*IF(AND(HostBuild[Server Type]="pSeries",HostBuild[Virtual Platform Storage Type]="Cloud-SAN"),0.25,1))</f>
        <v>608</v>
      </c>
      <c r="FD103" s="66">
        <f>0</f>
        <v>0</v>
      </c>
      <c r="FE103" s="66">
        <f>IF(HostBuild[Server Type]="VMware",HostBuild[RAM 
(GB)]*IF(ISERROR(FIND("DevCloud", HostBuild[Server Model])&gt;0),vRAM_per_vCPU_2014_Monthly,vRAM_per_vCPU_2014_Daily*30),0)</f>
        <v>0</v>
      </c>
      <c r="FF10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0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3" s="69">
        <f>IF(HostBuild[Server Tier]="VMware",0,IF(LEFT(HostBuild[Existing Server?],3)="Yes",0,IF(OR(HostBuild[Server Type]="Sun",HostBuild[Server Type]="pSeries"),Support_Direct_Server_Sun_per_OS_2014,IF(HostBuild[Server Type]="x86",Support_Direct_Server_x86_Wintel_per_OS_2014,0))))</f>
        <v>187.1</v>
      </c>
      <c r="FI10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4" spans="1:165" hidden="1">
      <c r="A104" s="122" t="s">
        <v>53</v>
      </c>
      <c r="B104" s="36"/>
      <c r="C104" s="36"/>
      <c r="D104" s="36"/>
      <c r="E104" s="37"/>
      <c r="F104" s="37"/>
      <c r="G104" s="103"/>
      <c r="H104" s="103"/>
      <c r="I104" s="38"/>
      <c r="J104" s="37"/>
      <c r="K104" s="37"/>
      <c r="L104" s="37"/>
      <c r="M104" s="103" t="e">
        <f ca="1">IF(rngIsDate(HostBuild[CTO Acceptance]),"Y","N")</f>
        <v>#NAME?</v>
      </c>
      <c r="N104" s="123" t="s">
        <v>4</v>
      </c>
      <c r="O104" s="39"/>
      <c r="P104" s="39"/>
      <c r="Q104" s="123" t="s">
        <v>0</v>
      </c>
      <c r="R104" s="126" t="str">
        <f>IF(NOT(ISBLANK(HostBuild[Env Label])),IFERROR(VLOOKUP(HostBuild[Env Label],[1]!tEnv[#Data],3,FALSE),""),"")</f>
        <v/>
      </c>
      <c r="S104" s="104"/>
      <c r="T104" s="40"/>
      <c r="U104" s="105"/>
      <c r="V104" s="123" t="s">
        <v>11</v>
      </c>
      <c r="W104" s="123" t="s">
        <v>190</v>
      </c>
      <c r="X104" s="123" t="s">
        <v>57</v>
      </c>
      <c r="Y104" s="123" t="s">
        <v>188</v>
      </c>
      <c r="Z104" s="126" t="str">
        <f>IF(NOT(ISBLANK(HostBuild[[#This Row],[Product 
(Acronym)]])),CONCATENATE(HostBuild[[#This Row],[Type]],"-",HostBuild[[#This Row],[Product 
(Acronym)]]),"")</f>
        <v>AP-CBOL</v>
      </c>
      <c r="AA104" s="106"/>
      <c r="AB104" s="106" t="s">
        <v>76</v>
      </c>
      <c r="AC104" s="41"/>
      <c r="AD104" s="42"/>
      <c r="AE104" s="42"/>
      <c r="AF104" s="43"/>
      <c r="AG104" s="124"/>
      <c r="AH104" s="107"/>
      <c r="AI104" s="124" t="s">
        <v>15</v>
      </c>
      <c r="AJ104" s="123">
        <f>IF(COUNTIF(HostBuild[Alias],HostBuild[Alias]),1/COUNTIF(HostBuild[Alias],HostBuild[Alias]),0)</f>
        <v>1</v>
      </c>
      <c r="AK104" s="124"/>
      <c r="AL104" s="124"/>
      <c r="AM104" s="44" t="s">
        <v>62</v>
      </c>
      <c r="AN104" s="45" t="str">
        <f>IF(NOT(ISBLANK(HostBuild[Server Model])),VLOOKUP(HostBuild[Server Model],[1]!ServerModelsTier[#Data],2,FALSE),"")</f>
        <v>x86 Tier 3</v>
      </c>
      <c r="AO104" s="45" t="str">
        <f>IF(NOT(ISBLANK(HostBuild[Server Model])),VLOOKUP(HostBuild[Server Model],[1]!ServerModelsTier[#Data],5,FALSE),"")</f>
        <v>x86</v>
      </c>
      <c r="AP104" s="44"/>
      <c r="AQ104" s="44" t="s">
        <v>63</v>
      </c>
      <c r="AR104" s="46">
        <v>2</v>
      </c>
      <c r="AS104" s="108"/>
      <c r="AT104" s="47">
        <v>16</v>
      </c>
      <c r="AU104" s="109" t="str">
        <f>IF(IFERROR(FIND("P-Series",HostBuild[Server Tier]),0),CEILING((HostBuild[Existing CPUs]+HostBuild[CPU])*16,8),"")</f>
        <v/>
      </c>
      <c r="AV104" s="48">
        <v>128</v>
      </c>
      <c r="AW104" s="124"/>
      <c r="AX104" s="124"/>
      <c r="AY104" s="124"/>
      <c r="AZ104" s="49"/>
      <c r="BA104" s="124"/>
      <c r="BB104" s="124"/>
      <c r="BC104" s="42"/>
      <c r="BD104" s="124"/>
      <c r="BE104" s="124"/>
      <c r="BF104" s="124"/>
      <c r="BG104" s="124"/>
      <c r="BH104" s="124"/>
      <c r="BI104" s="124"/>
      <c r="BJ104" s="124"/>
      <c r="BK104"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04" s="127">
        <v>600</v>
      </c>
      <c r="BM104" s="129">
        <f>IF(ISNUMBER(HostBuild[Recommended SAN (GB)]),HostBuild[Recommended SAN (GB)])+IF(HostBuild[Additional SAN (GB)]&gt;0,CEILING(HostBuild[Additional SAN (GB)],LUN),-(CEILING(-HostBuild[Additional SAN (GB)],LUN)))</f>
        <v>808.80000000000007</v>
      </c>
      <c r="BN104" s="128"/>
      <c r="BO104" s="129">
        <f>HostBuild[SAN (GB)
NEEDED TODAY]+CEILING(HostBuild[SAN (GB)
RESERVED
DO NOT USE TO BUILD], LUN)</f>
        <v>808.80000000000007</v>
      </c>
      <c r="BP104" s="130"/>
      <c r="BQ104" s="131"/>
      <c r="BR104" s="125" t="s">
        <v>76</v>
      </c>
      <c r="BS104" s="110">
        <f>IF(HostBuild[Existing Server?]&lt;&gt;"Yes - Inside this BoM",IF(ISNUMBER(HostBuild[RAM 
(GB)]),IF(HostBuild[Existing RAM (GB)]+HostBuild[RAM 
(GB)]&gt;0,IF(HostBuild[Virtual Platform Storage Type]="NAS",110+HostBuild[Existing RAM (GB)]+HostBuild[RAM 
(GB)]*1.75,0),0),0),0)</f>
        <v>0</v>
      </c>
      <c r="BT104" s="111"/>
      <c r="BU104" s="112">
        <f>IF(ISNUMBER(HostBuild[Recommended NAS (GB)]),HostBuild[Recommended NAS (GB)])+HostBuild[Additional NAS (GB)]</f>
        <v>0</v>
      </c>
      <c r="BV104" s="50"/>
      <c r="BW104" s="50"/>
      <c r="BX104" s="133">
        <f>IFERROR((HostBuild[SAN (GB)
End-State
DO NOT USE TO BUILD]+HostBuild[SAN (GB) Shared])*25%,"")</f>
        <v>202.20000000000002</v>
      </c>
      <c r="BY104" s="113">
        <f>IFERROR(HostBuild[Archive
Full (GB)]*15%,"")</f>
        <v>30.330000000000002</v>
      </c>
      <c r="BZ104" s="51"/>
      <c r="CA104" s="51"/>
      <c r="CB104" s="52"/>
      <c r="CC104" s="53"/>
      <c r="CD104" s="52"/>
      <c r="CE104" s="54"/>
      <c r="CF104" s="128"/>
      <c r="CG104" s="114"/>
      <c r="CH104" s="55"/>
      <c r="CI104" s="56"/>
      <c r="CJ104" s="57"/>
      <c r="CK104" s="58"/>
      <c r="CL104" s="59">
        <f>IFERROR(IF(FIND(CL$1,$W104)&gt;0,IF(INDEX([1]!Product_Pricing_Table[#Data],MATCH(CL$1,Products,0),2)="Cores",IF(HostBuild[Use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4" s="59">
        <f>IFERROR(IF(FIND(CM$1,$W104)&gt;0,IF(INDEX([1]!Product_Pricing_Table[#Data],MATCH(CM$1,Products,0),2)="Cores",IF(HostBuild[Use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04" s="59">
        <f>IFERROR(IF(FIND(CN$1,$W104)&gt;0,IF(INDEX([1]!Product_Pricing_Table[#Data],MATCH(CN$1,Products,0),2)="Cores",IF(HostBuild[Use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4" s="59">
        <f>IFERROR(IF(FIND(CO$1,$W104)&gt;0,IF(INDEX([1]!Product_Pricing_Table[#Data],MATCH(CO$1,Products,0),2)="Cores",IF(HostBuild[Use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4" s="59">
        <f>IFERROR(IF(FIND(CP$1,$W104)&gt;0,IF(INDEX([1]!Product_Pricing_Table[#Data],MATCH(CP$1,Products,0),2)="Cores",IF(HostBuild[Use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4" s="59">
        <f>IFERROR(IF(FIND(CQ$1,$W104)&gt;0,IF(INDEX([1]!Product_Pricing_Table[#Data],MATCH(CQ$1,Products,0),2)="Cores",IF(HostBuild[Use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4" s="59">
        <f>IFERROR(IF(FIND(CR$1,$W104)&gt;0,IF(INDEX([1]!Product_Pricing_Table[#Data],MATCH(CR$1,Products,0),2)="Cores",IF(HostBuild[Use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4" s="59">
        <f>IFERROR(IF(FIND(CS$1,$W104)&gt;0,IF(INDEX([1]!Product_Pricing_Table[#Data],MATCH(CS$1,Products,0),2)="Cores",IF(HostBuild[Use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4" s="59">
        <f>IFERROR(IF(FIND(CT$1,$W104)&gt;0,IF(INDEX([1]!Product_Pricing_Table[#Data],MATCH(CT$1,Products,0),2)="Cores",IF(HostBuild[Use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4" s="59">
        <f>IFERROR(IF(FIND(CU$1,$W104)&gt;0,IF(INDEX([1]!Product_Pricing_Table[#Data],MATCH(CU$1,Products,0),2)="Cores",IF(HostBuild[Use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04" s="59">
        <f>IFERROR(IF(FIND(CV$1,$W104)&gt;0,IF(INDEX([1]!Product_Pricing_Table[#Data],MATCH(CV$1,Products,0),2)="Cores",IF(HostBuild[Use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4" s="59">
        <f>IFERROR(IF(FIND(CW$1,$W104)&gt;0,IF(INDEX([1]!Product_Pricing_Table[#Data],MATCH(CW$1,Products,0),2)="Cores",IF(HostBuild[Use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4" s="59">
        <f>IFERROR(IF(FIND(CX$1,$W104)&gt;0,IF(INDEX([1]!Product_Pricing_Table[#Data],MATCH(CX$1,Products,0),2)="Cores",IF(HostBuild[Use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04" s="59">
        <f>IFERROR(IF(FIND(CY$1,$W104)&gt;0,IF(INDEX([1]!Product_Pricing_Table[#Data],MATCH(CY$1,Products,0),2)="Cores",IF(HostBuild[Use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4" s="59">
        <f>IFERROR(IF(FIND(CZ$1,$W104)&gt;0,IF(INDEX([1]!Product_Pricing_Table[#Data],MATCH(CZ$1,Products,0),2)="Cores",IF(HostBuild[Use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4" s="59">
        <f>IFERROR(IF(FIND(DA$1,$W104)&gt;0,IF(INDEX([1]!Product_Pricing_Table[#Data],MATCH(DA$1,Products,0),2)="Cores",IF(HostBuild[Use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4" s="59">
        <f>IFERROR(IF(FIND(DB$1,$W104)&gt;0,IF(INDEX([1]!Product_Pricing_Table[#Data],MATCH(DB$1,Products,0),2)="Cores",IF(HostBuild[Use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4" s="59">
        <f>IFERROR(IF(FIND(DC$1,$W104)&gt;0,IF(INDEX([1]!Product_Pricing_Table[#Data],MATCH(DC$1,Products,0),2)="Cores",IF(HostBuild[Use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4" s="59">
        <f>IFERROR(IF(FIND(DD$1,$W104)&gt;0,IF(INDEX([1]!Product_Pricing_Table[#Data],MATCH(DD$1,Products,0),2)="Cores",IF(HostBuild[Use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4" s="59">
        <f>IFERROR(IF(FIND(DE$1,$W104)&gt;0,IF(INDEX([1]!Product_Pricing_Table[#Data],MATCH(DE$1,Products,0),2)="Cores",IF(HostBuild[Use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4" s="60">
        <f>IFERROR(IF(FIND(DF$1,$W104)&gt;0,IF(INDEX([1]!Product_Pricing_Table[#Data],MATCH(DF$1,Products,0),2)="Cores",IF(HostBuild[Use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4" s="60">
        <f>IFERROR(IF(FIND(DG$1,$W104)&gt;0,IF(INDEX([1]!Product_Pricing_Table[#Data],MATCH(DG$1,Products,0),2)="Cores",IF(HostBuild[Use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4" s="59">
        <f>IFERROR(IF(FIND(DH$1,$W104)&gt;0,IF(INDEX([1]!Product_Pricing_Table[#Data],MATCH(DH$1,Products,0),2)="Cores",IF(HostBuild[Use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4" s="60">
        <f>IFERROR(IF(FIND(DI$1,$W104)&gt;0,IF(INDEX([1]!Product_Pricing_Table[#Data],MATCH(DI$1,Products,0),2)="Cores",IF(HostBuild[Use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4" s="59">
        <f>IFERROR(IF(FIND(DJ$1,$W104)&gt;0,IF(INDEX([1]!Product_Pricing_Table[#Data],MATCH(DJ$1,Products,0),2)="Cores",IF(HostBuild[Use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4" s="59">
        <f>IFERROR(IF(FIND(DK$1,$W104)&gt;0,IF(INDEX([1]!Product_Pricing_Table[#Data],MATCH(DK$1,Products,0),2)="Cores",IF(HostBuild[Use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4" s="59">
        <f>IFERROR(IF(FIND(DL$1,$W104)&gt;0,IF(INDEX([1]!Product_Pricing_Table[#Data],MATCH(DL$1,Products,0),2)="Cores",IF(HostBuild[Use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4" s="59">
        <f>IFERROR(IF(FIND(DM$1,$W104)&gt;0,IF(INDEX([1]!Product_Pricing_Table[#Data],MATCH(DM$1,Products,0),2)="Cores",IF(HostBuild[Use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4" s="59">
        <f>IFERROR(IF(FIND(DN$1,$W104)&gt;0,IF(INDEX([1]!Product_Pricing_Table[#Data],MATCH(DN$1,Products,0),2)="Cores",IF(HostBuild[Use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4" s="59">
        <f>IFERROR(IF(FIND(DO$1,$W104)&gt;0,IF(INDEX([1]!Product_Pricing_Table[#Data],MATCH(DO$1,Products,0),2)="Cores",IF(HostBuild[Use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4" s="59">
        <f>IFERROR(IF(FIND(DP$1,$W104)&gt;0,IF(INDEX([1]!Product_Pricing_Table[#Data],MATCH(DP$1,Products,0),2)="Cores",IF(HostBuild[Use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4" s="59">
        <f>IFERROR(IF(FIND(DQ$1,$W104)&gt;0,IF(INDEX([1]!Product_Pricing_Table[#Data],MATCH(DQ$1,Products,0),2)="Cores",IF(HostBuild[Use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4" s="59">
        <f>IFERROR(IF(FIND(DR$1,$W104)&gt;0,IF(INDEX([1]!Product_Pricing_Table[#Data],MATCH(DR$1,Products,0),2)="Cores",IF(HostBuild[Use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4" s="59">
        <f>IFERROR(IF(FIND(DS$1,$W104)&gt;0,IF(INDEX([1]!Product_Pricing_Table[#Data],MATCH(DS$1,Products,0),2)="Cores",IF(HostBuild[Use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4" s="59">
        <f>IFERROR(IF(FIND(DT$1,$W104)&gt;0,IF(INDEX([1]!Product_Pricing_Table[#Data],MATCH(DT$1,Products,0),2)="Cores",IF(HostBuild[Use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4" s="59">
        <f>IFERROR(IF(FIND(DU$1,$W104)&gt;0,IF(INDEX([1]!Product_Pricing_Table[#Data],MATCH(DU$1,Products,0),2)="Cores",IF(HostBuild[Use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4" s="59">
        <f>IFERROR(IF(FIND(DV$1,$W104)&gt;0,IF(INDEX([1]!Product_Pricing_Table[#Data],MATCH(DV$1,Products,0),2)="Cores",IF(HostBuild[Use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4" s="59">
        <f>IFERROR(IF(FIND(DW$1,$W104)&gt;0,IF(INDEX([1]!Product_Pricing_Table[#Data],MATCH(DW$1,Products,0),2)="Cores",IF(HostBuild[Use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4" s="59">
        <f>IFERROR(IF(FIND(DX$1,$W104)&gt;0,IF(INDEX([1]!Product_Pricing_Table[#Data],MATCH(DX$1,Products,0),2)="Cores",IF(HostBuild[Use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4" s="59">
        <f>IFERROR(IF(FIND(DY$1,$W104)&gt;0,IF(INDEX([1]!Product_Pricing_Table[#Data],MATCH(DY$1,Products,0),2)="Cores",IF(HostBuild[Use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4" s="59">
        <f>IFERROR(IF(FIND(DZ$1,$W104)&gt;0,IF(INDEX([1]!Product_Pricing_Table[#Data],MATCH(DZ$1,Products,0),2)="Cores",IF(HostBuild[Use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4" s="59">
        <f>IFERROR(IF(FIND(EA$1,$W104)&gt;0,IF(INDEX([1]!Product_Pricing_Table[#Data],MATCH(EA$1,Products,0),2)="Cores",IF(HostBuild[Use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4" s="59">
        <f>IFERROR(IF(FIND(EB$1,$W104)&gt;0,IF(INDEX([1]!Product_Pricing_Table[#Data],MATCH(EB$1,Products,0),2)="Cores",IF(HostBuild[Use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4" s="60">
        <f>IFERROR(IF(FIND(EC$1,$W104)&gt;0,IF(INDEX([1]!Product_Pricing_Table[#Data],MATCH(EC$1,Products,0),2)="Cores",IF(HostBuild[Use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4" s="59">
        <f>IFERROR(IF(FIND(ED$1,$W104)&gt;0,IF(INDEX([1]!Product_Pricing_Table[#Data],MATCH(ED$1,Products,0),2)="Cores",IF(HostBuild[Use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4" s="59">
        <f>IFERROR(IF(FIND(EE$1,$W104)&gt;0,IF(INDEX([1]!Product_Pricing_Table[#Data],MATCH(EE$1,Products,0),2)="Cores",IF(HostBuild[Use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4" s="59">
        <f>IFERROR(IF(FIND(EF$1,$W104)&gt;0,IF(INDEX([1]!Product_Pricing_Table[#Data],MATCH(EF$1,Products,0),2)="Cores",IF(HostBuild[Use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4" s="59">
        <f>IFERROR(IF(FIND(EG$1,$W104)&gt;0,IF(INDEX([1]!Product_Pricing_Table[#Data],MATCH(EG$1,Products,0),2)="Cores",IF(HostBuild[Use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4" s="59">
        <f>IFERROR(IF(FIND(EH$1,$W104)&gt;0,IF(INDEX([1]!Product_Pricing_Table[#Data],MATCH(EH$1,Products,0),2)="Cores",IF(HostBuild[Use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4" s="59">
        <f>IFERROR(IF(FIND(EI$1,$W104)&gt;0,IF(INDEX([1]!Product_Pricing_Table[#Data],MATCH(EI$1,Products,0),2)="Cores",IF(HostBuild[Use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4" s="59">
        <f>IFERROR(IF(FIND(EJ$1,$W104)&gt;0,IF(INDEX([1]!Product_Pricing_Table[#Data],MATCH(EJ$1,Products,0),2)="Cores",IF(HostBuild[Use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4" s="60">
        <f>IFERROR(IF(FIND(EK$1,$W104)&gt;0,IF(INDEX([1]!Product_Pricing_Table[#Data],MATCH(EK$1,Products,0),2)="Cores",IF(HostBuild[Use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4" s="61"/>
      <c r="EM104" s="62">
        <v>0</v>
      </c>
      <c r="EN104" s="63">
        <v>0</v>
      </c>
      <c r="EO104"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0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04" s="132">
        <f>(HostBuild[Archive
Full (GB)]+HostBuild[Archive
Incr (GB)])*Storage_DC_Dist_Tape_2014</f>
        <v>81.385500000000008</v>
      </c>
      <c r="ER104" s="132">
        <f>IF(ISNUMBER(HostBuild[Server HW Costs
(Monthly)]),SUM(HostBuild[[#This Row],[Server HW Costs
(Monthly)]:[Tape Costs
(Monthly)]]),0)</f>
        <v>1334.0455000000002</v>
      </c>
      <c r="ES104" s="65">
        <f>HostBuild[Software Costs
'[Year 1']
(Monthly)]+HostBuild[Total Hardware Costs
(Monthly)]</f>
        <v>1334.0455000000002</v>
      </c>
      <c r="ET104" s="65">
        <f>IFERROR(IF(FIND("Safenet",HostBuild[Server Model]),Safenet_PSE_PL600_Maint,0),0)+IFERROR(IF(FIND("XI52",HostBuild[Server Model]),IBM_DIA_XI52_Maint,0),0)+HostBuild[Software Costs
'[After Year 1']
(Monthly)]+HostBuild[Total Hardware Costs
(Monthly)]</f>
        <v>1334.0455000000002</v>
      </c>
      <c r="EU104" s="66">
        <f>SUM(HostBuild[[#This Row],[Server Cost Breakdown]:[Network Cost]])</f>
        <v>888.7</v>
      </c>
      <c r="EV104" s="67">
        <f>IF(HostBuild[Existing Server?]="Yes - Inside this BoM",0,SUMIF(HostBuild[Alias],HostBuild[Alias],HostBuild[CPU])+SUMIF(HostBuild[Alias],HostBuild[Alias],HostBuild[Existing CPUs]))</f>
        <v>2</v>
      </c>
      <c r="EW104" s="67">
        <f>IF(HostBuild[Existing Server?]="Yes - Inside this BoM",0,SUMIF(HostBuild[Alias],HostBuild[Alias],HostBuild[Cores 
(Licensed Units)])+SUMIF(HostBuild[Alias],HostBuild[Alias],HostBuild[Existing Cores]))</f>
        <v>16</v>
      </c>
      <c r="EX104" s="67">
        <f>IF(HostBuild[Existing Server?]="Yes - Inside this BoM",0,SUMIF(HostBuild[Alias],HostBuild[Alias],HostBuild[RAM 
(GB)])+SUMIF(HostBuild[Alias],HostBuild[Alias],HostBuild[Existing RAM (GB)]))</f>
        <v>128</v>
      </c>
      <c r="EY10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4" s="66">
        <f>IF(ISBLANK(HostBuild[Server Model]),0,IF(HostBuild[Server Tier]="VMware",0,VLOOKUP(HostBuild[Server Tier],[1]!ServerTierRates[#Data],2,0))*HostBuild[CPU]*IF(AND(HostBuild[Server Type]="pSeries",HostBuild[Virtual Platform Storage Type]="Cloud-SAN"),0.25,1))</f>
        <v>608</v>
      </c>
      <c r="FD104" s="66">
        <f>0</f>
        <v>0</v>
      </c>
      <c r="FE104" s="66">
        <f>IF(HostBuild[Server Type]="VMware",HostBuild[RAM 
(GB)]*IF(ISERROR(FIND("DevCloud", HostBuild[Server Model])&gt;0),vRAM_per_vCPU_2014_Monthly,vRAM_per_vCPU_2014_Daily*30),0)</f>
        <v>0</v>
      </c>
      <c r="FF10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0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4" s="69">
        <f>IF(HostBuild[Server Tier]="VMware",0,IF(LEFT(HostBuild[Existing Server?],3)="Yes",0,IF(OR(HostBuild[Server Type]="Sun",HostBuild[Server Type]="pSeries"),Support_Direct_Server_Sun_per_OS_2014,IF(HostBuild[Server Type]="x86",Support_Direct_Server_x86_Wintel_per_OS_2014,0))))</f>
        <v>187.1</v>
      </c>
      <c r="FI10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5" spans="1:165" hidden="1">
      <c r="A105" s="122" t="s">
        <v>53</v>
      </c>
      <c r="B105" s="36"/>
      <c r="C105" s="36"/>
      <c r="D105" s="36"/>
      <c r="E105" s="37"/>
      <c r="F105" s="37"/>
      <c r="G105" s="103"/>
      <c r="H105" s="103"/>
      <c r="I105" s="38"/>
      <c r="J105" s="37"/>
      <c r="K105" s="37"/>
      <c r="L105" s="37"/>
      <c r="M105" s="103" t="e">
        <f ca="1">IF(rngIsDate(HostBuild[CTO Acceptance]),"Y","N")</f>
        <v>#NAME?</v>
      </c>
      <c r="N105" s="123" t="s">
        <v>3</v>
      </c>
      <c r="O105" s="39"/>
      <c r="P105" s="39"/>
      <c r="Q105" s="123" t="s">
        <v>189</v>
      </c>
      <c r="R105" s="126" t="str">
        <f>IF(NOT(ISBLANK(HostBuild[Env Label])),IFERROR(VLOOKUP(HostBuild[Env Label],[1]!tEnv[#Data],3,FALSE),""),"")</f>
        <v/>
      </c>
      <c r="S105" s="104"/>
      <c r="T105" s="40"/>
      <c r="U105" s="105"/>
      <c r="V105" s="123" t="s">
        <v>11</v>
      </c>
      <c r="W105" s="123" t="s">
        <v>190</v>
      </c>
      <c r="X105" s="123" t="s">
        <v>57</v>
      </c>
      <c r="Y105" s="123" t="s">
        <v>188</v>
      </c>
      <c r="Z105" s="126" t="str">
        <f>IF(NOT(ISBLANK(HostBuild[[#This Row],[Product 
(Acronym)]])),CONCATENATE(HostBuild[[#This Row],[Type]],"-",HostBuild[[#This Row],[Product 
(Acronym)]]),"")</f>
        <v>AP-CBOL</v>
      </c>
      <c r="AA105" s="106"/>
      <c r="AB105" s="106" t="s">
        <v>76</v>
      </c>
      <c r="AC105" s="41"/>
      <c r="AD105" s="42"/>
      <c r="AE105" s="42"/>
      <c r="AF105" s="43"/>
      <c r="AG105" s="124"/>
      <c r="AH105" s="107"/>
      <c r="AI105" s="124" t="s">
        <v>16</v>
      </c>
      <c r="AJ105" s="123">
        <f>IF(COUNTIF(HostBuild[Alias],HostBuild[Alias]),1/COUNTIF(HostBuild[Alias],HostBuild[Alias]),0)</f>
        <v>1</v>
      </c>
      <c r="AK105" s="124"/>
      <c r="AL105" s="124"/>
      <c r="AM105" s="44" t="s">
        <v>62</v>
      </c>
      <c r="AN105" s="45" t="str">
        <f>IF(NOT(ISBLANK(HostBuild[Server Model])),VLOOKUP(HostBuild[Server Model],[1]!ServerModelsTier[#Data],2,FALSE),"")</f>
        <v>x86 Tier 3</v>
      </c>
      <c r="AO105" s="45" t="str">
        <f>IF(NOT(ISBLANK(HostBuild[Server Model])),VLOOKUP(HostBuild[Server Model],[1]!ServerModelsTier[#Data],5,FALSE),"")</f>
        <v>x86</v>
      </c>
      <c r="AP105" s="44"/>
      <c r="AQ105" s="44" t="s">
        <v>63</v>
      </c>
      <c r="AR105" s="46">
        <v>2</v>
      </c>
      <c r="AS105" s="108"/>
      <c r="AT105" s="47">
        <v>16</v>
      </c>
      <c r="AU105" s="109" t="str">
        <f>IF(IFERROR(FIND("P-Series",HostBuild[Server Tier]),0),CEILING((HostBuild[Existing CPUs]+HostBuild[CPU])*16,8),"")</f>
        <v/>
      </c>
      <c r="AV105" s="48">
        <v>128</v>
      </c>
      <c r="AW105" s="124"/>
      <c r="AX105" s="124"/>
      <c r="AY105" s="124"/>
      <c r="AZ105" s="49"/>
      <c r="BA105" s="124"/>
      <c r="BB105" s="124"/>
      <c r="BC105" s="42"/>
      <c r="BD105" s="124"/>
      <c r="BE105" s="124"/>
      <c r="BF105" s="124"/>
      <c r="BG105" s="124"/>
      <c r="BH105" s="124"/>
      <c r="BI105" s="124"/>
      <c r="BJ105" s="124"/>
      <c r="BK105"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05" s="127">
        <v>600</v>
      </c>
      <c r="BM105" s="129">
        <f>IF(ISNUMBER(HostBuild[Recommended SAN (GB)]),HostBuild[Recommended SAN (GB)])+IF(HostBuild[Additional SAN (GB)]&gt;0,CEILING(HostBuild[Additional SAN (GB)],LUN),-(CEILING(-HostBuild[Additional SAN (GB)],LUN)))</f>
        <v>808.80000000000007</v>
      </c>
      <c r="BN105" s="128"/>
      <c r="BO105" s="129">
        <f>HostBuild[SAN (GB)
NEEDED TODAY]+CEILING(HostBuild[SAN (GB)
RESERVED
DO NOT USE TO BUILD], LUN)</f>
        <v>808.80000000000007</v>
      </c>
      <c r="BP105" s="130"/>
      <c r="BQ105" s="131"/>
      <c r="BR105" s="125" t="s">
        <v>76</v>
      </c>
      <c r="BS105" s="110">
        <f>IF(HostBuild[Existing Server?]&lt;&gt;"Yes - Inside this BoM",IF(ISNUMBER(HostBuild[RAM 
(GB)]),IF(HostBuild[Existing RAM (GB)]+HostBuild[RAM 
(GB)]&gt;0,IF(HostBuild[Virtual Platform Storage Type]="NAS",110+HostBuild[Existing RAM (GB)]+HostBuild[RAM 
(GB)]*1.75,0),0),0),0)</f>
        <v>0</v>
      </c>
      <c r="BT105" s="111"/>
      <c r="BU105" s="112">
        <f>IF(ISNUMBER(HostBuild[Recommended NAS (GB)]),HostBuild[Recommended NAS (GB)])+HostBuild[Additional NAS (GB)]</f>
        <v>0</v>
      </c>
      <c r="BV105" s="50"/>
      <c r="BW105" s="50"/>
      <c r="BX105" s="133">
        <f>IFERROR((HostBuild[SAN (GB)
End-State
DO NOT USE TO BUILD]+HostBuild[SAN (GB) Shared])*25%,"")</f>
        <v>202.20000000000002</v>
      </c>
      <c r="BY105" s="113">
        <f>IFERROR(HostBuild[Archive
Full (GB)]*15%,"")</f>
        <v>30.330000000000002</v>
      </c>
      <c r="BZ105" s="51"/>
      <c r="CA105" s="51"/>
      <c r="CB105" s="52"/>
      <c r="CC105" s="53"/>
      <c r="CD105" s="52"/>
      <c r="CE105" s="54"/>
      <c r="CF105" s="128"/>
      <c r="CG105" s="114"/>
      <c r="CH105" s="55"/>
      <c r="CI105" s="56"/>
      <c r="CJ105" s="57"/>
      <c r="CK105" s="58"/>
      <c r="CL105" s="59">
        <f>IFERROR(IF(FIND(CL$1,$W105)&gt;0,IF(INDEX([1]!Product_Pricing_Table[#Data],MATCH(CL$1,Products,0),2)="Cores",IF(HostBuild[Use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5" s="59">
        <f>IFERROR(IF(FIND(CM$1,$W105)&gt;0,IF(INDEX([1]!Product_Pricing_Table[#Data],MATCH(CM$1,Products,0),2)="Cores",IF(HostBuild[Use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05" s="59">
        <f>IFERROR(IF(FIND(CN$1,$W105)&gt;0,IF(INDEX([1]!Product_Pricing_Table[#Data],MATCH(CN$1,Products,0),2)="Cores",IF(HostBuild[Use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5" s="59">
        <f>IFERROR(IF(FIND(CO$1,$W105)&gt;0,IF(INDEX([1]!Product_Pricing_Table[#Data],MATCH(CO$1,Products,0),2)="Cores",IF(HostBuild[Use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5" s="59">
        <f>IFERROR(IF(FIND(CP$1,$W105)&gt;0,IF(INDEX([1]!Product_Pricing_Table[#Data],MATCH(CP$1,Products,0),2)="Cores",IF(HostBuild[Use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5" s="59">
        <f>IFERROR(IF(FIND(CQ$1,$W105)&gt;0,IF(INDEX([1]!Product_Pricing_Table[#Data],MATCH(CQ$1,Products,0),2)="Cores",IF(HostBuild[Use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5" s="59">
        <f>IFERROR(IF(FIND(CR$1,$W105)&gt;0,IF(INDEX([1]!Product_Pricing_Table[#Data],MATCH(CR$1,Products,0),2)="Cores",IF(HostBuild[Use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5" s="59">
        <f>IFERROR(IF(FIND(CS$1,$W105)&gt;0,IF(INDEX([1]!Product_Pricing_Table[#Data],MATCH(CS$1,Products,0),2)="Cores",IF(HostBuild[Use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5" s="59">
        <f>IFERROR(IF(FIND(CT$1,$W105)&gt;0,IF(INDEX([1]!Product_Pricing_Table[#Data],MATCH(CT$1,Products,0),2)="Cores",IF(HostBuild[Use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5" s="59">
        <f>IFERROR(IF(FIND(CU$1,$W105)&gt;0,IF(INDEX([1]!Product_Pricing_Table[#Data],MATCH(CU$1,Products,0),2)="Cores",IF(HostBuild[Use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05" s="59">
        <f>IFERROR(IF(FIND(CV$1,$W105)&gt;0,IF(INDEX([1]!Product_Pricing_Table[#Data],MATCH(CV$1,Products,0),2)="Cores",IF(HostBuild[Use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5" s="59">
        <f>IFERROR(IF(FIND(CW$1,$W105)&gt;0,IF(INDEX([1]!Product_Pricing_Table[#Data],MATCH(CW$1,Products,0),2)="Cores",IF(HostBuild[Use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5" s="59">
        <f>IFERROR(IF(FIND(CX$1,$W105)&gt;0,IF(INDEX([1]!Product_Pricing_Table[#Data],MATCH(CX$1,Products,0),2)="Cores",IF(HostBuild[Use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05" s="59">
        <f>IFERROR(IF(FIND(CY$1,$W105)&gt;0,IF(INDEX([1]!Product_Pricing_Table[#Data],MATCH(CY$1,Products,0),2)="Cores",IF(HostBuild[Use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5" s="59">
        <f>IFERROR(IF(FIND(CZ$1,$W105)&gt;0,IF(INDEX([1]!Product_Pricing_Table[#Data],MATCH(CZ$1,Products,0),2)="Cores",IF(HostBuild[Use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5" s="59">
        <f>IFERROR(IF(FIND(DA$1,$W105)&gt;0,IF(INDEX([1]!Product_Pricing_Table[#Data],MATCH(DA$1,Products,0),2)="Cores",IF(HostBuild[Use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5" s="59">
        <f>IFERROR(IF(FIND(DB$1,$W105)&gt;0,IF(INDEX([1]!Product_Pricing_Table[#Data],MATCH(DB$1,Products,0),2)="Cores",IF(HostBuild[Use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5" s="59">
        <f>IFERROR(IF(FIND(DC$1,$W105)&gt;0,IF(INDEX([1]!Product_Pricing_Table[#Data],MATCH(DC$1,Products,0),2)="Cores",IF(HostBuild[Use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5" s="59">
        <f>IFERROR(IF(FIND(DD$1,$W105)&gt;0,IF(INDEX([1]!Product_Pricing_Table[#Data],MATCH(DD$1,Products,0),2)="Cores",IF(HostBuild[Use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5" s="59">
        <f>IFERROR(IF(FIND(DE$1,$W105)&gt;0,IF(INDEX([1]!Product_Pricing_Table[#Data],MATCH(DE$1,Products,0),2)="Cores",IF(HostBuild[Use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5" s="60">
        <f>IFERROR(IF(FIND(DF$1,$W105)&gt;0,IF(INDEX([1]!Product_Pricing_Table[#Data],MATCH(DF$1,Products,0),2)="Cores",IF(HostBuild[Use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5" s="60">
        <f>IFERROR(IF(FIND(DG$1,$W105)&gt;0,IF(INDEX([1]!Product_Pricing_Table[#Data],MATCH(DG$1,Products,0),2)="Cores",IF(HostBuild[Use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5" s="59">
        <f>IFERROR(IF(FIND(DH$1,$W105)&gt;0,IF(INDEX([1]!Product_Pricing_Table[#Data],MATCH(DH$1,Products,0),2)="Cores",IF(HostBuild[Use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5" s="60">
        <f>IFERROR(IF(FIND(DI$1,$W105)&gt;0,IF(INDEX([1]!Product_Pricing_Table[#Data],MATCH(DI$1,Products,0),2)="Cores",IF(HostBuild[Use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5" s="59">
        <f>IFERROR(IF(FIND(DJ$1,$W105)&gt;0,IF(INDEX([1]!Product_Pricing_Table[#Data],MATCH(DJ$1,Products,0),2)="Cores",IF(HostBuild[Use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5" s="59">
        <f>IFERROR(IF(FIND(DK$1,$W105)&gt;0,IF(INDEX([1]!Product_Pricing_Table[#Data],MATCH(DK$1,Products,0),2)="Cores",IF(HostBuild[Use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5" s="59">
        <f>IFERROR(IF(FIND(DL$1,$W105)&gt;0,IF(INDEX([1]!Product_Pricing_Table[#Data],MATCH(DL$1,Products,0),2)="Cores",IF(HostBuild[Use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5" s="59">
        <f>IFERROR(IF(FIND(DM$1,$W105)&gt;0,IF(INDEX([1]!Product_Pricing_Table[#Data],MATCH(DM$1,Products,0),2)="Cores",IF(HostBuild[Use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5" s="59">
        <f>IFERROR(IF(FIND(DN$1,$W105)&gt;0,IF(INDEX([1]!Product_Pricing_Table[#Data],MATCH(DN$1,Products,0),2)="Cores",IF(HostBuild[Use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5" s="59">
        <f>IFERROR(IF(FIND(DO$1,$W105)&gt;0,IF(INDEX([1]!Product_Pricing_Table[#Data],MATCH(DO$1,Products,0),2)="Cores",IF(HostBuild[Use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5" s="59">
        <f>IFERROR(IF(FIND(DP$1,$W105)&gt;0,IF(INDEX([1]!Product_Pricing_Table[#Data],MATCH(DP$1,Products,0),2)="Cores",IF(HostBuild[Use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5" s="59">
        <f>IFERROR(IF(FIND(DQ$1,$W105)&gt;0,IF(INDEX([1]!Product_Pricing_Table[#Data],MATCH(DQ$1,Products,0),2)="Cores",IF(HostBuild[Use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5" s="59">
        <f>IFERROR(IF(FIND(DR$1,$W105)&gt;0,IF(INDEX([1]!Product_Pricing_Table[#Data],MATCH(DR$1,Products,0),2)="Cores",IF(HostBuild[Use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5" s="59">
        <f>IFERROR(IF(FIND(DS$1,$W105)&gt;0,IF(INDEX([1]!Product_Pricing_Table[#Data],MATCH(DS$1,Products,0),2)="Cores",IF(HostBuild[Use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5" s="59">
        <f>IFERROR(IF(FIND(DT$1,$W105)&gt;0,IF(INDEX([1]!Product_Pricing_Table[#Data],MATCH(DT$1,Products,0),2)="Cores",IF(HostBuild[Use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5" s="59">
        <f>IFERROR(IF(FIND(DU$1,$W105)&gt;0,IF(INDEX([1]!Product_Pricing_Table[#Data],MATCH(DU$1,Products,0),2)="Cores",IF(HostBuild[Use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5" s="59">
        <f>IFERROR(IF(FIND(DV$1,$W105)&gt;0,IF(INDEX([1]!Product_Pricing_Table[#Data],MATCH(DV$1,Products,0),2)="Cores",IF(HostBuild[Use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5" s="59">
        <f>IFERROR(IF(FIND(DW$1,$W105)&gt;0,IF(INDEX([1]!Product_Pricing_Table[#Data],MATCH(DW$1,Products,0),2)="Cores",IF(HostBuild[Use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5" s="59">
        <f>IFERROR(IF(FIND(DX$1,$W105)&gt;0,IF(INDEX([1]!Product_Pricing_Table[#Data],MATCH(DX$1,Products,0),2)="Cores",IF(HostBuild[Use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5" s="59">
        <f>IFERROR(IF(FIND(DY$1,$W105)&gt;0,IF(INDEX([1]!Product_Pricing_Table[#Data],MATCH(DY$1,Products,0),2)="Cores",IF(HostBuild[Use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5" s="59">
        <f>IFERROR(IF(FIND(DZ$1,$W105)&gt;0,IF(INDEX([1]!Product_Pricing_Table[#Data],MATCH(DZ$1,Products,0),2)="Cores",IF(HostBuild[Use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5" s="59">
        <f>IFERROR(IF(FIND(EA$1,$W105)&gt;0,IF(INDEX([1]!Product_Pricing_Table[#Data],MATCH(EA$1,Products,0),2)="Cores",IF(HostBuild[Use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5" s="59">
        <f>IFERROR(IF(FIND(EB$1,$W105)&gt;0,IF(INDEX([1]!Product_Pricing_Table[#Data],MATCH(EB$1,Products,0),2)="Cores",IF(HostBuild[Use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5" s="60">
        <f>IFERROR(IF(FIND(EC$1,$W105)&gt;0,IF(INDEX([1]!Product_Pricing_Table[#Data],MATCH(EC$1,Products,0),2)="Cores",IF(HostBuild[Use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5" s="59">
        <f>IFERROR(IF(FIND(ED$1,$W105)&gt;0,IF(INDEX([1]!Product_Pricing_Table[#Data],MATCH(ED$1,Products,0),2)="Cores",IF(HostBuild[Use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5" s="59">
        <f>IFERROR(IF(FIND(EE$1,$W105)&gt;0,IF(INDEX([1]!Product_Pricing_Table[#Data],MATCH(EE$1,Products,0),2)="Cores",IF(HostBuild[Use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5" s="59">
        <f>IFERROR(IF(FIND(EF$1,$W105)&gt;0,IF(INDEX([1]!Product_Pricing_Table[#Data],MATCH(EF$1,Products,0),2)="Cores",IF(HostBuild[Use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5" s="59">
        <f>IFERROR(IF(FIND(EG$1,$W105)&gt;0,IF(INDEX([1]!Product_Pricing_Table[#Data],MATCH(EG$1,Products,0),2)="Cores",IF(HostBuild[Use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5" s="59">
        <f>IFERROR(IF(FIND(EH$1,$W105)&gt;0,IF(INDEX([1]!Product_Pricing_Table[#Data],MATCH(EH$1,Products,0),2)="Cores",IF(HostBuild[Use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5" s="59">
        <f>IFERROR(IF(FIND(EI$1,$W105)&gt;0,IF(INDEX([1]!Product_Pricing_Table[#Data],MATCH(EI$1,Products,0),2)="Cores",IF(HostBuild[Use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5" s="59">
        <f>IFERROR(IF(FIND(EJ$1,$W105)&gt;0,IF(INDEX([1]!Product_Pricing_Table[#Data],MATCH(EJ$1,Products,0),2)="Cores",IF(HostBuild[Use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5" s="60">
        <f>IFERROR(IF(FIND(EK$1,$W105)&gt;0,IF(INDEX([1]!Product_Pricing_Table[#Data],MATCH(EK$1,Products,0),2)="Cores",IF(HostBuild[Use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5" s="61"/>
      <c r="EM105" s="62"/>
      <c r="EN105" s="63"/>
      <c r="EO105"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0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05" s="132">
        <f>(HostBuild[Archive
Full (GB)]+HostBuild[Archive
Incr (GB)])*Storage_DC_Dist_Tape_2014</f>
        <v>81.385500000000008</v>
      </c>
      <c r="ER105" s="132">
        <f>IF(ISNUMBER(HostBuild[Server HW Costs
(Monthly)]),SUM(HostBuild[[#This Row],[Server HW Costs
(Monthly)]:[Tape Costs
(Monthly)]]),0)</f>
        <v>1334.0455000000002</v>
      </c>
      <c r="ES105" s="65">
        <f>HostBuild[Software Costs
'[Year 1']
(Monthly)]+HostBuild[Total Hardware Costs
(Monthly)]</f>
        <v>1334.0455000000002</v>
      </c>
      <c r="ET105" s="65">
        <f>IFERROR(IF(FIND("Safenet",HostBuild[Server Model]),Safenet_PSE_PL600_Maint,0),0)+IFERROR(IF(FIND("XI52",HostBuild[Server Model]),IBM_DIA_XI52_Maint,0),0)+HostBuild[Software Costs
'[After Year 1']
(Monthly)]+HostBuild[Total Hardware Costs
(Monthly)]</f>
        <v>1334.0455000000002</v>
      </c>
      <c r="EU105" s="66">
        <f>SUM(HostBuild[[#This Row],[Server Cost Breakdown]:[Network Cost]])</f>
        <v>888.7</v>
      </c>
      <c r="EV105" s="67">
        <f>IF(HostBuild[Existing Server?]="Yes - Inside this BoM",0,SUMIF(HostBuild[Alias],HostBuild[Alias],HostBuild[CPU])+SUMIF(HostBuild[Alias],HostBuild[Alias],HostBuild[Existing CPUs]))</f>
        <v>2</v>
      </c>
      <c r="EW105" s="67">
        <f>IF(HostBuild[Existing Server?]="Yes - Inside this BoM",0,SUMIF(HostBuild[Alias],HostBuild[Alias],HostBuild[Cores 
(Licensed Units)])+SUMIF(HostBuild[Alias],HostBuild[Alias],HostBuild[Existing Cores]))</f>
        <v>16</v>
      </c>
      <c r="EX105" s="67">
        <f>IF(HostBuild[Existing Server?]="Yes - Inside this BoM",0,SUMIF(HostBuild[Alias],HostBuild[Alias],HostBuild[RAM 
(GB)])+SUMIF(HostBuild[Alias],HostBuild[Alias],HostBuild[Existing RAM (GB)]))</f>
        <v>128</v>
      </c>
      <c r="EY10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5" s="66">
        <f>IF(ISBLANK(HostBuild[Server Model]),0,IF(HostBuild[Server Tier]="VMware",0,VLOOKUP(HostBuild[Server Tier],[1]!ServerTierRates[#Data],2,0))*HostBuild[CPU]*IF(AND(HostBuild[Server Type]="pSeries",HostBuild[Virtual Platform Storage Type]="Cloud-SAN"),0.25,1))</f>
        <v>608</v>
      </c>
      <c r="FD105" s="66">
        <f>0</f>
        <v>0</v>
      </c>
      <c r="FE105" s="66">
        <f>IF(HostBuild[Server Type]="VMware",HostBuild[RAM 
(GB)]*IF(ISERROR(FIND("DevCloud", HostBuild[Server Model])&gt;0),vRAM_per_vCPU_2014_Monthly,vRAM_per_vCPU_2014_Daily*30),0)</f>
        <v>0</v>
      </c>
      <c r="FF10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0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5" s="69">
        <f>IF(HostBuild[Server Tier]="VMware",0,IF(LEFT(HostBuild[Existing Server?],3)="Yes",0,IF(OR(HostBuild[Server Type]="Sun",HostBuild[Server Type]="pSeries"),Support_Direct_Server_Sun_per_OS_2014,IF(HostBuild[Server Type]="x86",Support_Direct_Server_x86_Wintel_per_OS_2014,0))))</f>
        <v>187.1</v>
      </c>
      <c r="FI10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6" spans="1:165" hidden="1">
      <c r="A106" s="122" t="s">
        <v>53</v>
      </c>
      <c r="B106" s="36"/>
      <c r="C106" s="36"/>
      <c r="D106" s="36"/>
      <c r="E106" s="37"/>
      <c r="F106" s="37"/>
      <c r="G106" s="103"/>
      <c r="H106" s="103"/>
      <c r="I106" s="38"/>
      <c r="J106" s="37"/>
      <c r="K106" s="37"/>
      <c r="L106" s="37"/>
      <c r="M106" s="103" t="e">
        <f ca="1">IF(rngIsDate(HostBuild[CTO Acceptance]),"Y","N")</f>
        <v>#NAME?</v>
      </c>
      <c r="N106" s="123" t="s">
        <v>4</v>
      </c>
      <c r="O106" s="39"/>
      <c r="P106" s="39"/>
      <c r="Q106" s="123" t="s">
        <v>0</v>
      </c>
      <c r="R106" s="126" t="str">
        <f>IF(NOT(ISBLANK(HostBuild[Env Label])),IFERROR(VLOOKUP(HostBuild[Env Label],[1]!tEnv[#Data],3,FALSE),""),"")</f>
        <v/>
      </c>
      <c r="S106" s="104"/>
      <c r="T106" s="40"/>
      <c r="U106" s="105"/>
      <c r="V106" s="123" t="s">
        <v>17</v>
      </c>
      <c r="W106" s="123" t="s">
        <v>190</v>
      </c>
      <c r="X106" s="123" t="s">
        <v>57</v>
      </c>
      <c r="Y106" s="123" t="s">
        <v>188</v>
      </c>
      <c r="Z106" s="126" t="str">
        <f>IF(NOT(ISBLANK(HostBuild[[#This Row],[Product 
(Acronym)]])),CONCATENATE(HostBuild[[#This Row],[Type]],"-",HostBuild[[#This Row],[Product 
(Acronym)]]),"")</f>
        <v>AP-CBOL</v>
      </c>
      <c r="AA106" s="106"/>
      <c r="AB106" s="106" t="s">
        <v>76</v>
      </c>
      <c r="AC106" s="41"/>
      <c r="AD106" s="42"/>
      <c r="AE106" s="42"/>
      <c r="AF106" s="43"/>
      <c r="AG106" s="124"/>
      <c r="AH106" s="107"/>
      <c r="AI106" s="124" t="s">
        <v>18</v>
      </c>
      <c r="AJ106" s="123">
        <f>IF(COUNTIF(HostBuild[Alias],HostBuild[Alias]),1/COUNTIF(HostBuild[Alias],HostBuild[Alias]),0)</f>
        <v>1</v>
      </c>
      <c r="AK106" s="124"/>
      <c r="AL106" s="124"/>
      <c r="AM106" s="44" t="s">
        <v>62</v>
      </c>
      <c r="AN106" s="45" t="str">
        <f>IF(NOT(ISBLANK(HostBuild[Server Model])),VLOOKUP(HostBuild[Server Model],[1]!ServerModelsTier[#Data],2,FALSE),"")</f>
        <v>x86 Tier 3</v>
      </c>
      <c r="AO106" s="45" t="str">
        <f>IF(NOT(ISBLANK(HostBuild[Server Model])),VLOOKUP(HostBuild[Server Model],[1]!ServerModelsTier[#Data],5,FALSE),"")</f>
        <v>x86</v>
      </c>
      <c r="AP106" s="44"/>
      <c r="AQ106" s="44" t="s">
        <v>63</v>
      </c>
      <c r="AR106" s="46">
        <v>2</v>
      </c>
      <c r="AS106" s="108"/>
      <c r="AT106" s="47">
        <v>16</v>
      </c>
      <c r="AU106" s="109" t="str">
        <f>IF(IFERROR(FIND("P-Series",HostBuild[Server Tier]),0),CEILING((HostBuild[Existing CPUs]+HostBuild[CPU])*16,8),"")</f>
        <v/>
      </c>
      <c r="AV106" s="48">
        <v>256</v>
      </c>
      <c r="AW106" s="124"/>
      <c r="AX106" s="124"/>
      <c r="AY106" s="124"/>
      <c r="AZ106" s="49"/>
      <c r="BA106" s="124"/>
      <c r="BB106" s="124"/>
      <c r="BC106" s="42"/>
      <c r="BD106" s="124"/>
      <c r="BE106" s="124"/>
      <c r="BF106" s="124"/>
      <c r="BG106" s="124"/>
      <c r="BH106" s="124"/>
      <c r="BI106" s="124"/>
      <c r="BJ106" s="124"/>
      <c r="BK106"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06" s="127">
        <v>800</v>
      </c>
      <c r="BM106" s="129">
        <f>IF(ISNUMBER(HostBuild[Recommended SAN (GB)]),HostBuild[Recommended SAN (GB)])+IF(HostBuild[Additional SAN (GB)]&gt;0,CEILING(HostBuild[Additional SAN (GB)],LUN),-(CEILING(-HostBuild[Additional SAN (GB)],LUN)))</f>
        <v>1145.8000000000002</v>
      </c>
      <c r="BN106" s="128"/>
      <c r="BO106" s="129">
        <f>HostBuild[SAN (GB)
NEEDED TODAY]+CEILING(HostBuild[SAN (GB)
RESERVED
DO NOT USE TO BUILD], LUN)</f>
        <v>1145.8000000000002</v>
      </c>
      <c r="BP106" s="130"/>
      <c r="BQ106" s="131"/>
      <c r="BR106" s="125" t="s">
        <v>76</v>
      </c>
      <c r="BS106" s="110">
        <f>IF(HostBuild[Existing Server?]&lt;&gt;"Yes - Inside this BoM",IF(ISNUMBER(HostBuild[RAM 
(GB)]),IF(HostBuild[Existing RAM (GB)]+HostBuild[RAM 
(GB)]&gt;0,IF(HostBuild[Virtual Platform Storage Type]="NAS",110+HostBuild[Existing RAM (GB)]+HostBuild[RAM 
(GB)]*1.75,0),0),0),0)</f>
        <v>0</v>
      </c>
      <c r="BT106" s="111"/>
      <c r="BU106" s="112">
        <f>IF(ISNUMBER(HostBuild[Recommended NAS (GB)]),HostBuild[Recommended NAS (GB)])+HostBuild[Additional NAS (GB)]</f>
        <v>0</v>
      </c>
      <c r="BV106" s="50"/>
      <c r="BW106" s="50"/>
      <c r="BX106" s="133">
        <f>IFERROR((HostBuild[SAN (GB)
End-State
DO NOT USE TO BUILD]+HostBuild[SAN (GB) Shared])*25%,"")</f>
        <v>286.45000000000005</v>
      </c>
      <c r="BY106" s="113">
        <f>IFERROR(HostBuild[Archive
Full (GB)]*15%,"")</f>
        <v>42.967500000000008</v>
      </c>
      <c r="BZ106" s="51"/>
      <c r="CA106" s="51"/>
      <c r="CB106" s="52"/>
      <c r="CC106" s="53"/>
      <c r="CD106" s="52"/>
      <c r="CE106" s="54"/>
      <c r="CF106" s="128"/>
      <c r="CG106" s="114"/>
      <c r="CH106" s="55"/>
      <c r="CI106" s="56"/>
      <c r="CJ106" s="57"/>
      <c r="CK106" s="58"/>
      <c r="CL106" s="59">
        <f>IFERROR(IF(FIND(CL$1,$W106)&gt;0,IF(INDEX([1]!Product_Pricing_Table[#Data],MATCH(CL$1,Products,0),2)="Cores",IF(HostBuild[Use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6" s="59">
        <f>IFERROR(IF(FIND(CM$1,$W106)&gt;0,IF(INDEX([1]!Product_Pricing_Table[#Data],MATCH(CM$1,Products,0),2)="Cores",IF(HostBuild[Use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06" s="59">
        <f>IFERROR(IF(FIND(CN$1,$W106)&gt;0,IF(INDEX([1]!Product_Pricing_Table[#Data],MATCH(CN$1,Products,0),2)="Cores",IF(HostBuild[Use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6" s="59">
        <f>IFERROR(IF(FIND(CO$1,$W106)&gt;0,IF(INDEX([1]!Product_Pricing_Table[#Data],MATCH(CO$1,Products,0),2)="Cores",IF(HostBuild[Use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6" s="59">
        <f>IFERROR(IF(FIND(CP$1,$W106)&gt;0,IF(INDEX([1]!Product_Pricing_Table[#Data],MATCH(CP$1,Products,0),2)="Cores",IF(HostBuild[Use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6" s="59">
        <f>IFERROR(IF(FIND(CQ$1,$W106)&gt;0,IF(INDEX([1]!Product_Pricing_Table[#Data],MATCH(CQ$1,Products,0),2)="Cores",IF(HostBuild[Use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6" s="59">
        <f>IFERROR(IF(FIND(CR$1,$W106)&gt;0,IF(INDEX([1]!Product_Pricing_Table[#Data],MATCH(CR$1,Products,0),2)="Cores",IF(HostBuild[Use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6" s="59">
        <f>IFERROR(IF(FIND(CS$1,$W106)&gt;0,IF(INDEX([1]!Product_Pricing_Table[#Data],MATCH(CS$1,Products,0),2)="Cores",IF(HostBuild[Use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6" s="59">
        <f>IFERROR(IF(FIND(CT$1,$W106)&gt;0,IF(INDEX([1]!Product_Pricing_Table[#Data],MATCH(CT$1,Products,0),2)="Cores",IF(HostBuild[Use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6" s="59">
        <f>IFERROR(IF(FIND(CU$1,$W106)&gt;0,IF(INDEX([1]!Product_Pricing_Table[#Data],MATCH(CU$1,Products,0),2)="Cores",IF(HostBuild[Use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06" s="59">
        <f>IFERROR(IF(FIND(CV$1,$W106)&gt;0,IF(INDEX([1]!Product_Pricing_Table[#Data],MATCH(CV$1,Products,0),2)="Cores",IF(HostBuild[Use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6" s="59">
        <f>IFERROR(IF(FIND(CW$1,$W106)&gt;0,IF(INDEX([1]!Product_Pricing_Table[#Data],MATCH(CW$1,Products,0),2)="Cores",IF(HostBuild[Use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6" s="59">
        <f>IFERROR(IF(FIND(CX$1,$W106)&gt;0,IF(INDEX([1]!Product_Pricing_Table[#Data],MATCH(CX$1,Products,0),2)="Cores",IF(HostBuild[Use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06" s="59">
        <f>IFERROR(IF(FIND(CY$1,$W106)&gt;0,IF(INDEX([1]!Product_Pricing_Table[#Data],MATCH(CY$1,Products,0),2)="Cores",IF(HostBuild[Use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6" s="59">
        <f>IFERROR(IF(FIND(CZ$1,$W106)&gt;0,IF(INDEX([1]!Product_Pricing_Table[#Data],MATCH(CZ$1,Products,0),2)="Cores",IF(HostBuild[Use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6" s="59">
        <f>IFERROR(IF(FIND(DA$1,$W106)&gt;0,IF(INDEX([1]!Product_Pricing_Table[#Data],MATCH(DA$1,Products,0),2)="Cores",IF(HostBuild[Use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6" s="59">
        <f>IFERROR(IF(FIND(DB$1,$W106)&gt;0,IF(INDEX([1]!Product_Pricing_Table[#Data],MATCH(DB$1,Products,0),2)="Cores",IF(HostBuild[Use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6" s="59">
        <f>IFERROR(IF(FIND(DC$1,$W106)&gt;0,IF(INDEX([1]!Product_Pricing_Table[#Data],MATCH(DC$1,Products,0),2)="Cores",IF(HostBuild[Use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6" s="59">
        <f>IFERROR(IF(FIND(DD$1,$W106)&gt;0,IF(INDEX([1]!Product_Pricing_Table[#Data],MATCH(DD$1,Products,0),2)="Cores",IF(HostBuild[Use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6" s="59">
        <f>IFERROR(IF(FIND(DE$1,$W106)&gt;0,IF(INDEX([1]!Product_Pricing_Table[#Data],MATCH(DE$1,Products,0),2)="Cores",IF(HostBuild[Use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6" s="60">
        <f>IFERROR(IF(FIND(DF$1,$W106)&gt;0,IF(INDEX([1]!Product_Pricing_Table[#Data],MATCH(DF$1,Products,0),2)="Cores",IF(HostBuild[Use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6" s="60">
        <f>IFERROR(IF(FIND(DG$1,$W106)&gt;0,IF(INDEX([1]!Product_Pricing_Table[#Data],MATCH(DG$1,Products,0),2)="Cores",IF(HostBuild[Use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6" s="59">
        <f>IFERROR(IF(FIND(DH$1,$W106)&gt;0,IF(INDEX([1]!Product_Pricing_Table[#Data],MATCH(DH$1,Products,0),2)="Cores",IF(HostBuild[Use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6" s="60">
        <f>IFERROR(IF(FIND(DI$1,$W106)&gt;0,IF(INDEX([1]!Product_Pricing_Table[#Data],MATCH(DI$1,Products,0),2)="Cores",IF(HostBuild[Use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6" s="59">
        <f>IFERROR(IF(FIND(DJ$1,$W106)&gt;0,IF(INDEX([1]!Product_Pricing_Table[#Data],MATCH(DJ$1,Products,0),2)="Cores",IF(HostBuild[Use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6" s="59">
        <f>IFERROR(IF(FIND(DK$1,$W106)&gt;0,IF(INDEX([1]!Product_Pricing_Table[#Data],MATCH(DK$1,Products,0),2)="Cores",IF(HostBuild[Use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6" s="59">
        <f>IFERROR(IF(FIND(DL$1,$W106)&gt;0,IF(INDEX([1]!Product_Pricing_Table[#Data],MATCH(DL$1,Products,0),2)="Cores",IF(HostBuild[Use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6" s="59">
        <f>IFERROR(IF(FIND(DM$1,$W106)&gt;0,IF(INDEX([1]!Product_Pricing_Table[#Data],MATCH(DM$1,Products,0),2)="Cores",IF(HostBuild[Use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6" s="59">
        <f>IFERROR(IF(FIND(DN$1,$W106)&gt;0,IF(INDEX([1]!Product_Pricing_Table[#Data],MATCH(DN$1,Products,0),2)="Cores",IF(HostBuild[Use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6" s="59">
        <f>IFERROR(IF(FIND(DO$1,$W106)&gt;0,IF(INDEX([1]!Product_Pricing_Table[#Data],MATCH(DO$1,Products,0),2)="Cores",IF(HostBuild[Use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6" s="59">
        <f>IFERROR(IF(FIND(DP$1,$W106)&gt;0,IF(INDEX([1]!Product_Pricing_Table[#Data],MATCH(DP$1,Products,0),2)="Cores",IF(HostBuild[Use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6" s="59">
        <f>IFERROR(IF(FIND(DQ$1,$W106)&gt;0,IF(INDEX([1]!Product_Pricing_Table[#Data],MATCH(DQ$1,Products,0),2)="Cores",IF(HostBuild[Use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6" s="59">
        <f>IFERROR(IF(FIND(DR$1,$W106)&gt;0,IF(INDEX([1]!Product_Pricing_Table[#Data],MATCH(DR$1,Products,0),2)="Cores",IF(HostBuild[Use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6" s="59">
        <f>IFERROR(IF(FIND(DS$1,$W106)&gt;0,IF(INDEX([1]!Product_Pricing_Table[#Data],MATCH(DS$1,Products,0),2)="Cores",IF(HostBuild[Use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6" s="59">
        <f>IFERROR(IF(FIND(DT$1,$W106)&gt;0,IF(INDEX([1]!Product_Pricing_Table[#Data],MATCH(DT$1,Products,0),2)="Cores",IF(HostBuild[Use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6" s="59">
        <f>IFERROR(IF(FIND(DU$1,$W106)&gt;0,IF(INDEX([1]!Product_Pricing_Table[#Data],MATCH(DU$1,Products,0),2)="Cores",IF(HostBuild[Use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6" s="59">
        <f>IFERROR(IF(FIND(DV$1,$W106)&gt;0,IF(INDEX([1]!Product_Pricing_Table[#Data],MATCH(DV$1,Products,0),2)="Cores",IF(HostBuild[Use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6" s="59">
        <f>IFERROR(IF(FIND(DW$1,$W106)&gt;0,IF(INDEX([1]!Product_Pricing_Table[#Data],MATCH(DW$1,Products,0),2)="Cores",IF(HostBuild[Use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6" s="59">
        <f>IFERROR(IF(FIND(DX$1,$W106)&gt;0,IF(INDEX([1]!Product_Pricing_Table[#Data],MATCH(DX$1,Products,0),2)="Cores",IF(HostBuild[Use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6" s="59">
        <f>IFERROR(IF(FIND(DY$1,$W106)&gt;0,IF(INDEX([1]!Product_Pricing_Table[#Data],MATCH(DY$1,Products,0),2)="Cores",IF(HostBuild[Use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6" s="59">
        <f>IFERROR(IF(FIND(DZ$1,$W106)&gt;0,IF(INDEX([1]!Product_Pricing_Table[#Data],MATCH(DZ$1,Products,0),2)="Cores",IF(HostBuild[Use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6" s="59">
        <f>IFERROR(IF(FIND(EA$1,$W106)&gt;0,IF(INDEX([1]!Product_Pricing_Table[#Data],MATCH(EA$1,Products,0),2)="Cores",IF(HostBuild[Use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6" s="59">
        <f>IFERROR(IF(FIND(EB$1,$W106)&gt;0,IF(INDEX([1]!Product_Pricing_Table[#Data],MATCH(EB$1,Products,0),2)="Cores",IF(HostBuild[Use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6" s="60">
        <f>IFERROR(IF(FIND(EC$1,$W106)&gt;0,IF(INDEX([1]!Product_Pricing_Table[#Data],MATCH(EC$1,Products,0),2)="Cores",IF(HostBuild[Use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6" s="59">
        <f>IFERROR(IF(FIND(ED$1,$W106)&gt;0,IF(INDEX([1]!Product_Pricing_Table[#Data],MATCH(ED$1,Products,0),2)="Cores",IF(HostBuild[Use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6" s="59">
        <f>IFERROR(IF(FIND(EE$1,$W106)&gt;0,IF(INDEX([1]!Product_Pricing_Table[#Data],MATCH(EE$1,Products,0),2)="Cores",IF(HostBuild[Use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6" s="59">
        <f>IFERROR(IF(FIND(EF$1,$W106)&gt;0,IF(INDEX([1]!Product_Pricing_Table[#Data],MATCH(EF$1,Products,0),2)="Cores",IF(HostBuild[Use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6" s="59">
        <f>IFERROR(IF(FIND(EG$1,$W106)&gt;0,IF(INDEX([1]!Product_Pricing_Table[#Data],MATCH(EG$1,Products,0),2)="Cores",IF(HostBuild[Use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6" s="59">
        <f>IFERROR(IF(FIND(EH$1,$W106)&gt;0,IF(INDEX([1]!Product_Pricing_Table[#Data],MATCH(EH$1,Products,0),2)="Cores",IF(HostBuild[Use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6" s="59">
        <f>IFERROR(IF(FIND(EI$1,$W106)&gt;0,IF(INDEX([1]!Product_Pricing_Table[#Data],MATCH(EI$1,Products,0),2)="Cores",IF(HostBuild[Use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6" s="59">
        <f>IFERROR(IF(FIND(EJ$1,$W106)&gt;0,IF(INDEX([1]!Product_Pricing_Table[#Data],MATCH(EJ$1,Products,0),2)="Cores",IF(HostBuild[Use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6" s="60">
        <f>IFERROR(IF(FIND(EK$1,$W106)&gt;0,IF(INDEX([1]!Product_Pricing_Table[#Data],MATCH(EK$1,Products,0),2)="Cores",IF(HostBuild[Use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6" s="61"/>
      <c r="EM106" s="62"/>
      <c r="EN106" s="63"/>
      <c r="EO106"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0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515.61000000000013</v>
      </c>
      <c r="EQ106" s="132">
        <f>(HostBuild[Archive
Full (GB)]+HostBuild[Archive
Incr (GB)])*Storage_DC_Dist_Tape_2014</f>
        <v>115.29612500000002</v>
      </c>
      <c r="ER106" s="132">
        <f>IF(ISNUMBER(HostBuild[Server HW Costs
(Monthly)]),SUM(HostBuild[[#This Row],[Server HW Costs
(Monthly)]:[Tape Costs
(Monthly)]]),0)</f>
        <v>1634.8061250000003</v>
      </c>
      <c r="ES106" s="65">
        <f>HostBuild[Software Costs
'[Year 1']
(Monthly)]+HostBuild[Total Hardware Costs
(Monthly)]</f>
        <v>1634.8061250000003</v>
      </c>
      <c r="ET106" s="65">
        <f>IFERROR(IF(FIND("Safenet",HostBuild[Server Model]),Safenet_PSE_PL600_Maint,0),0)+IFERROR(IF(FIND("XI52",HostBuild[Server Model]),IBM_DIA_XI52_Maint,0),0)+HostBuild[Software Costs
'[After Year 1']
(Monthly)]+HostBuild[Total Hardware Costs
(Monthly)]</f>
        <v>1634.8061250000003</v>
      </c>
      <c r="EU106" s="66">
        <f>SUM(HostBuild[[#This Row],[Server Cost Breakdown]:[Network Cost]])</f>
        <v>1003.9</v>
      </c>
      <c r="EV106" s="67">
        <f>IF(HostBuild[Existing Server?]="Yes - Inside this BoM",0,SUMIF(HostBuild[Alias],HostBuild[Alias],HostBuild[CPU])+SUMIF(HostBuild[Alias],HostBuild[Alias],HostBuild[Existing CPUs]))</f>
        <v>2</v>
      </c>
      <c r="EW106" s="67">
        <f>IF(HostBuild[Existing Server?]="Yes - Inside this BoM",0,SUMIF(HostBuild[Alias],HostBuild[Alias],HostBuild[Cores 
(Licensed Units)])+SUMIF(HostBuild[Alias],HostBuild[Alias],HostBuild[Existing Cores]))</f>
        <v>16</v>
      </c>
      <c r="EX106" s="67">
        <f>IF(HostBuild[Existing Server?]="Yes - Inside this BoM",0,SUMIF(HostBuild[Alias],HostBuild[Alias],HostBuild[RAM 
(GB)])+SUMIF(HostBuild[Alias],HostBuild[Alias],HostBuild[Existing RAM (GB)]))</f>
        <v>256</v>
      </c>
      <c r="EY10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6" s="66">
        <f>IF(ISBLANK(HostBuild[Server Model]),0,IF(HostBuild[Server Tier]="VMware",0,VLOOKUP(HostBuild[Server Tier],[1]!ServerTierRates[#Data],2,0))*HostBuild[CPU]*IF(AND(HostBuild[Server Type]="pSeries",HostBuild[Virtual Platform Storage Type]="Cloud-SAN"),0.25,1))</f>
        <v>608</v>
      </c>
      <c r="FD106" s="66">
        <f>0</f>
        <v>0</v>
      </c>
      <c r="FE106" s="66">
        <f>IF(HostBuild[Server Type]="VMware",HostBuild[RAM 
(GB)]*IF(ISERROR(FIND("DevCloud", HostBuild[Server Model])&gt;0),vRAM_per_vCPU_2014_Monthly,vRAM_per_vCPU_2014_Daily*30),0)</f>
        <v>0</v>
      </c>
      <c r="FF10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0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6" s="69">
        <f>IF(HostBuild[Server Tier]="VMware",0,IF(LEFT(HostBuild[Existing Server?],3)="Yes",0,IF(OR(HostBuild[Server Type]="Sun",HostBuild[Server Type]="pSeries"),Support_Direct_Server_Sun_per_OS_2014,IF(HostBuild[Server Type]="x86",Support_Direct_Server_x86_Wintel_per_OS_2014,0))))</f>
        <v>187.1</v>
      </c>
      <c r="FI10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7" spans="1:165" hidden="1">
      <c r="A107" s="122" t="s">
        <v>53</v>
      </c>
      <c r="B107" s="36"/>
      <c r="C107" s="36"/>
      <c r="D107" s="36"/>
      <c r="E107" s="37"/>
      <c r="F107" s="37"/>
      <c r="G107" s="103"/>
      <c r="H107" s="103"/>
      <c r="I107" s="38"/>
      <c r="J107" s="37"/>
      <c r="K107" s="37"/>
      <c r="L107" s="37"/>
      <c r="M107" s="103" t="e">
        <f ca="1">IF(rngIsDate(HostBuild[CTO Acceptance]),"Y","N")</f>
        <v>#NAME?</v>
      </c>
      <c r="N107" s="123" t="s">
        <v>4</v>
      </c>
      <c r="O107" s="39"/>
      <c r="P107" s="39"/>
      <c r="Q107" s="123" t="s">
        <v>0</v>
      </c>
      <c r="R107" s="126" t="str">
        <f>IF(NOT(ISBLANK(HostBuild[Env Label])),IFERROR(VLOOKUP(HostBuild[Env Label],[1]!tEnv[#Data],3,FALSE),""),"")</f>
        <v/>
      </c>
      <c r="S107" s="104"/>
      <c r="T107" s="40"/>
      <c r="U107" s="105"/>
      <c r="V107" s="123" t="s">
        <v>17</v>
      </c>
      <c r="W107" s="123" t="s">
        <v>190</v>
      </c>
      <c r="X107" s="123" t="s">
        <v>57</v>
      </c>
      <c r="Y107" s="123" t="s">
        <v>188</v>
      </c>
      <c r="Z107" s="126" t="str">
        <f>IF(NOT(ISBLANK(HostBuild[[#This Row],[Product 
(Acronym)]])),CONCATENATE(HostBuild[[#This Row],[Type]],"-",HostBuild[[#This Row],[Product 
(Acronym)]]),"")</f>
        <v>AP-CBOL</v>
      </c>
      <c r="AA107" s="106"/>
      <c r="AB107" s="106" t="s">
        <v>76</v>
      </c>
      <c r="AC107" s="41"/>
      <c r="AD107" s="42"/>
      <c r="AE107" s="42"/>
      <c r="AF107" s="43"/>
      <c r="AG107" s="124"/>
      <c r="AH107" s="107"/>
      <c r="AI107" s="124" t="s">
        <v>19</v>
      </c>
      <c r="AJ107" s="123">
        <f>IF(COUNTIF(HostBuild[Alias],HostBuild[Alias]),1/COUNTIF(HostBuild[Alias],HostBuild[Alias]),0)</f>
        <v>1</v>
      </c>
      <c r="AK107" s="124"/>
      <c r="AL107" s="124"/>
      <c r="AM107" s="44" t="s">
        <v>62</v>
      </c>
      <c r="AN107" s="45" t="str">
        <f>IF(NOT(ISBLANK(HostBuild[Server Model])),VLOOKUP(HostBuild[Server Model],[1]!ServerModelsTier[#Data],2,FALSE),"")</f>
        <v>x86 Tier 3</v>
      </c>
      <c r="AO107" s="45" t="str">
        <f>IF(NOT(ISBLANK(HostBuild[Server Model])),VLOOKUP(HostBuild[Server Model],[1]!ServerModelsTier[#Data],5,FALSE),"")</f>
        <v>x86</v>
      </c>
      <c r="AP107" s="44"/>
      <c r="AQ107" s="44" t="s">
        <v>63</v>
      </c>
      <c r="AR107" s="46">
        <v>2</v>
      </c>
      <c r="AS107" s="108"/>
      <c r="AT107" s="47">
        <v>16</v>
      </c>
      <c r="AU107" s="109" t="str">
        <f>IF(IFERROR(FIND("P-Series",HostBuild[Server Tier]),0),CEILING((HostBuild[Existing CPUs]+HostBuild[CPU])*16,8),"")</f>
        <v/>
      </c>
      <c r="AV107" s="48">
        <v>256</v>
      </c>
      <c r="AW107" s="124"/>
      <c r="AX107" s="124"/>
      <c r="AY107" s="124"/>
      <c r="AZ107" s="49"/>
      <c r="BA107" s="124"/>
      <c r="BB107" s="124"/>
      <c r="BC107" s="42"/>
      <c r="BD107" s="124"/>
      <c r="BE107" s="124"/>
      <c r="BF107" s="124"/>
      <c r="BG107" s="124"/>
      <c r="BH107" s="124"/>
      <c r="BI107" s="124"/>
      <c r="BJ107" s="124"/>
      <c r="BK107"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07" s="127">
        <v>800</v>
      </c>
      <c r="BM107" s="129">
        <f>IF(ISNUMBER(HostBuild[Recommended SAN (GB)]),HostBuild[Recommended SAN (GB)])+IF(HostBuild[Additional SAN (GB)]&gt;0,CEILING(HostBuild[Additional SAN (GB)],LUN),-(CEILING(-HostBuild[Additional SAN (GB)],LUN)))</f>
        <v>1145.8000000000002</v>
      </c>
      <c r="BN107" s="128"/>
      <c r="BO107" s="129">
        <f>HostBuild[SAN (GB)
NEEDED TODAY]+CEILING(HostBuild[SAN (GB)
RESERVED
DO NOT USE TO BUILD], LUN)</f>
        <v>1145.8000000000002</v>
      </c>
      <c r="BP107" s="130"/>
      <c r="BQ107" s="131"/>
      <c r="BR107" s="125" t="s">
        <v>76</v>
      </c>
      <c r="BS107" s="110">
        <f>IF(HostBuild[Existing Server?]&lt;&gt;"Yes - Inside this BoM",IF(ISNUMBER(HostBuild[RAM 
(GB)]),IF(HostBuild[Existing RAM (GB)]+HostBuild[RAM 
(GB)]&gt;0,IF(HostBuild[Virtual Platform Storage Type]="NAS",110+HostBuild[Existing RAM (GB)]+HostBuild[RAM 
(GB)]*1.75,0),0),0),0)</f>
        <v>0</v>
      </c>
      <c r="BT107" s="111"/>
      <c r="BU107" s="112">
        <f>IF(ISNUMBER(HostBuild[Recommended NAS (GB)]),HostBuild[Recommended NAS (GB)])+HostBuild[Additional NAS (GB)]</f>
        <v>0</v>
      </c>
      <c r="BV107" s="50"/>
      <c r="BW107" s="50"/>
      <c r="BX107" s="133">
        <f>IFERROR((HostBuild[SAN (GB)
End-State
DO NOT USE TO BUILD]+HostBuild[SAN (GB) Shared])*25%,"")</f>
        <v>286.45000000000005</v>
      </c>
      <c r="BY107" s="113">
        <f>IFERROR(HostBuild[Archive
Full (GB)]*15%,"")</f>
        <v>42.967500000000008</v>
      </c>
      <c r="BZ107" s="51"/>
      <c r="CA107" s="51"/>
      <c r="CB107" s="52"/>
      <c r="CC107" s="53"/>
      <c r="CD107" s="52"/>
      <c r="CE107" s="54"/>
      <c r="CF107" s="128"/>
      <c r="CG107" s="114"/>
      <c r="CH107" s="55"/>
      <c r="CI107" s="56"/>
      <c r="CJ107" s="57"/>
      <c r="CK107" s="58"/>
      <c r="CL107" s="59">
        <f>IFERROR(IF(FIND(CL$1,$W107)&gt;0,IF(INDEX([1]!Product_Pricing_Table[#Data],MATCH(CL$1,Products,0),2)="Cores",IF(HostBuild[Use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7" s="59">
        <f>IFERROR(IF(FIND(CM$1,$W107)&gt;0,IF(INDEX([1]!Product_Pricing_Table[#Data],MATCH(CM$1,Products,0),2)="Cores",IF(HostBuild[Use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07" s="59">
        <f>IFERROR(IF(FIND(CN$1,$W107)&gt;0,IF(INDEX([1]!Product_Pricing_Table[#Data],MATCH(CN$1,Products,0),2)="Cores",IF(HostBuild[Use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7" s="59">
        <f>IFERROR(IF(FIND(CO$1,$W107)&gt;0,IF(INDEX([1]!Product_Pricing_Table[#Data],MATCH(CO$1,Products,0),2)="Cores",IF(HostBuild[Use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7" s="59">
        <f>IFERROR(IF(FIND(CP$1,$W107)&gt;0,IF(INDEX([1]!Product_Pricing_Table[#Data],MATCH(CP$1,Products,0),2)="Cores",IF(HostBuild[Use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7" s="59">
        <f>IFERROR(IF(FIND(CQ$1,$W107)&gt;0,IF(INDEX([1]!Product_Pricing_Table[#Data],MATCH(CQ$1,Products,0),2)="Cores",IF(HostBuild[Use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7" s="59">
        <f>IFERROR(IF(FIND(CR$1,$W107)&gt;0,IF(INDEX([1]!Product_Pricing_Table[#Data],MATCH(CR$1,Products,0),2)="Cores",IF(HostBuild[Use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7" s="59">
        <f>IFERROR(IF(FIND(CS$1,$W107)&gt;0,IF(INDEX([1]!Product_Pricing_Table[#Data],MATCH(CS$1,Products,0),2)="Cores",IF(HostBuild[Use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7" s="59">
        <f>IFERROR(IF(FIND(CT$1,$W107)&gt;0,IF(INDEX([1]!Product_Pricing_Table[#Data],MATCH(CT$1,Products,0),2)="Cores",IF(HostBuild[Use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7" s="59">
        <f>IFERROR(IF(FIND(CU$1,$W107)&gt;0,IF(INDEX([1]!Product_Pricing_Table[#Data],MATCH(CU$1,Products,0),2)="Cores",IF(HostBuild[Use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07" s="59">
        <f>IFERROR(IF(FIND(CV$1,$W107)&gt;0,IF(INDEX([1]!Product_Pricing_Table[#Data],MATCH(CV$1,Products,0),2)="Cores",IF(HostBuild[Use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7" s="59">
        <f>IFERROR(IF(FIND(CW$1,$W107)&gt;0,IF(INDEX([1]!Product_Pricing_Table[#Data],MATCH(CW$1,Products,0),2)="Cores",IF(HostBuild[Use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7" s="59">
        <f>IFERROR(IF(FIND(CX$1,$W107)&gt;0,IF(INDEX([1]!Product_Pricing_Table[#Data],MATCH(CX$1,Products,0),2)="Cores",IF(HostBuild[Use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07" s="59">
        <f>IFERROR(IF(FIND(CY$1,$W107)&gt;0,IF(INDEX([1]!Product_Pricing_Table[#Data],MATCH(CY$1,Products,0),2)="Cores",IF(HostBuild[Use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7" s="59">
        <f>IFERROR(IF(FIND(CZ$1,$W107)&gt;0,IF(INDEX([1]!Product_Pricing_Table[#Data],MATCH(CZ$1,Products,0),2)="Cores",IF(HostBuild[Use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7" s="59">
        <f>IFERROR(IF(FIND(DA$1,$W107)&gt;0,IF(INDEX([1]!Product_Pricing_Table[#Data],MATCH(DA$1,Products,0),2)="Cores",IF(HostBuild[Use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7" s="59">
        <f>IFERROR(IF(FIND(DB$1,$W107)&gt;0,IF(INDEX([1]!Product_Pricing_Table[#Data],MATCH(DB$1,Products,0),2)="Cores",IF(HostBuild[Use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7" s="59">
        <f>IFERROR(IF(FIND(DC$1,$W107)&gt;0,IF(INDEX([1]!Product_Pricing_Table[#Data],MATCH(DC$1,Products,0),2)="Cores",IF(HostBuild[Use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7" s="59">
        <f>IFERROR(IF(FIND(DD$1,$W107)&gt;0,IF(INDEX([1]!Product_Pricing_Table[#Data],MATCH(DD$1,Products,0),2)="Cores",IF(HostBuild[Use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7" s="59">
        <f>IFERROR(IF(FIND(DE$1,$W107)&gt;0,IF(INDEX([1]!Product_Pricing_Table[#Data],MATCH(DE$1,Products,0),2)="Cores",IF(HostBuild[Use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7" s="60">
        <f>IFERROR(IF(FIND(DF$1,$W107)&gt;0,IF(INDEX([1]!Product_Pricing_Table[#Data],MATCH(DF$1,Products,0),2)="Cores",IF(HostBuild[Use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7" s="60">
        <f>IFERROR(IF(FIND(DG$1,$W107)&gt;0,IF(INDEX([1]!Product_Pricing_Table[#Data],MATCH(DG$1,Products,0),2)="Cores",IF(HostBuild[Use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7" s="59">
        <f>IFERROR(IF(FIND(DH$1,$W107)&gt;0,IF(INDEX([1]!Product_Pricing_Table[#Data],MATCH(DH$1,Products,0),2)="Cores",IF(HostBuild[Use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7" s="60">
        <f>IFERROR(IF(FIND(DI$1,$W107)&gt;0,IF(INDEX([1]!Product_Pricing_Table[#Data],MATCH(DI$1,Products,0),2)="Cores",IF(HostBuild[Use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7" s="59">
        <f>IFERROR(IF(FIND(DJ$1,$W107)&gt;0,IF(INDEX([1]!Product_Pricing_Table[#Data],MATCH(DJ$1,Products,0),2)="Cores",IF(HostBuild[Use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7" s="59">
        <f>IFERROR(IF(FIND(DK$1,$W107)&gt;0,IF(INDEX([1]!Product_Pricing_Table[#Data],MATCH(DK$1,Products,0),2)="Cores",IF(HostBuild[Use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7" s="59">
        <f>IFERROR(IF(FIND(DL$1,$W107)&gt;0,IF(INDEX([1]!Product_Pricing_Table[#Data],MATCH(DL$1,Products,0),2)="Cores",IF(HostBuild[Use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7" s="59">
        <f>IFERROR(IF(FIND(DM$1,$W107)&gt;0,IF(INDEX([1]!Product_Pricing_Table[#Data],MATCH(DM$1,Products,0),2)="Cores",IF(HostBuild[Use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7" s="59">
        <f>IFERROR(IF(FIND(DN$1,$W107)&gt;0,IF(INDEX([1]!Product_Pricing_Table[#Data],MATCH(DN$1,Products,0),2)="Cores",IF(HostBuild[Use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7" s="59">
        <f>IFERROR(IF(FIND(DO$1,$W107)&gt;0,IF(INDEX([1]!Product_Pricing_Table[#Data],MATCH(DO$1,Products,0),2)="Cores",IF(HostBuild[Use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7" s="59">
        <f>IFERROR(IF(FIND(DP$1,$W107)&gt;0,IF(INDEX([1]!Product_Pricing_Table[#Data],MATCH(DP$1,Products,0),2)="Cores",IF(HostBuild[Use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7" s="59">
        <f>IFERROR(IF(FIND(DQ$1,$W107)&gt;0,IF(INDEX([1]!Product_Pricing_Table[#Data],MATCH(DQ$1,Products,0),2)="Cores",IF(HostBuild[Use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7" s="59">
        <f>IFERROR(IF(FIND(DR$1,$W107)&gt;0,IF(INDEX([1]!Product_Pricing_Table[#Data],MATCH(DR$1,Products,0),2)="Cores",IF(HostBuild[Use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7" s="59">
        <f>IFERROR(IF(FIND(DS$1,$W107)&gt;0,IF(INDEX([1]!Product_Pricing_Table[#Data],MATCH(DS$1,Products,0),2)="Cores",IF(HostBuild[Use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7" s="59">
        <f>IFERROR(IF(FIND(DT$1,$W107)&gt;0,IF(INDEX([1]!Product_Pricing_Table[#Data],MATCH(DT$1,Products,0),2)="Cores",IF(HostBuild[Use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7" s="59">
        <f>IFERROR(IF(FIND(DU$1,$W107)&gt;0,IF(INDEX([1]!Product_Pricing_Table[#Data],MATCH(DU$1,Products,0),2)="Cores",IF(HostBuild[Use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7" s="59">
        <f>IFERROR(IF(FIND(DV$1,$W107)&gt;0,IF(INDEX([1]!Product_Pricing_Table[#Data],MATCH(DV$1,Products,0),2)="Cores",IF(HostBuild[Use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7" s="59">
        <f>IFERROR(IF(FIND(DW$1,$W107)&gt;0,IF(INDEX([1]!Product_Pricing_Table[#Data],MATCH(DW$1,Products,0),2)="Cores",IF(HostBuild[Use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7" s="59">
        <f>IFERROR(IF(FIND(DX$1,$W107)&gt;0,IF(INDEX([1]!Product_Pricing_Table[#Data],MATCH(DX$1,Products,0),2)="Cores",IF(HostBuild[Use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7" s="59">
        <f>IFERROR(IF(FIND(DY$1,$W107)&gt;0,IF(INDEX([1]!Product_Pricing_Table[#Data],MATCH(DY$1,Products,0),2)="Cores",IF(HostBuild[Use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7" s="59">
        <f>IFERROR(IF(FIND(DZ$1,$W107)&gt;0,IF(INDEX([1]!Product_Pricing_Table[#Data],MATCH(DZ$1,Products,0),2)="Cores",IF(HostBuild[Use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7" s="59">
        <f>IFERROR(IF(FIND(EA$1,$W107)&gt;0,IF(INDEX([1]!Product_Pricing_Table[#Data],MATCH(EA$1,Products,0),2)="Cores",IF(HostBuild[Use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7" s="59">
        <f>IFERROR(IF(FIND(EB$1,$W107)&gt;0,IF(INDEX([1]!Product_Pricing_Table[#Data],MATCH(EB$1,Products,0),2)="Cores",IF(HostBuild[Use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7" s="60">
        <f>IFERROR(IF(FIND(EC$1,$W107)&gt;0,IF(INDEX([1]!Product_Pricing_Table[#Data],MATCH(EC$1,Products,0),2)="Cores",IF(HostBuild[Use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7" s="59">
        <f>IFERROR(IF(FIND(ED$1,$W107)&gt;0,IF(INDEX([1]!Product_Pricing_Table[#Data],MATCH(ED$1,Products,0),2)="Cores",IF(HostBuild[Use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7" s="59">
        <f>IFERROR(IF(FIND(EE$1,$W107)&gt;0,IF(INDEX([1]!Product_Pricing_Table[#Data],MATCH(EE$1,Products,0),2)="Cores",IF(HostBuild[Use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7" s="59">
        <f>IFERROR(IF(FIND(EF$1,$W107)&gt;0,IF(INDEX([1]!Product_Pricing_Table[#Data],MATCH(EF$1,Products,0),2)="Cores",IF(HostBuild[Use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7" s="59">
        <f>IFERROR(IF(FIND(EG$1,$W107)&gt;0,IF(INDEX([1]!Product_Pricing_Table[#Data],MATCH(EG$1,Products,0),2)="Cores",IF(HostBuild[Use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7" s="59">
        <f>IFERROR(IF(FIND(EH$1,$W107)&gt;0,IF(INDEX([1]!Product_Pricing_Table[#Data],MATCH(EH$1,Products,0),2)="Cores",IF(HostBuild[Use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7" s="59">
        <f>IFERROR(IF(FIND(EI$1,$W107)&gt;0,IF(INDEX([1]!Product_Pricing_Table[#Data],MATCH(EI$1,Products,0),2)="Cores",IF(HostBuild[Use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7" s="59">
        <f>IFERROR(IF(FIND(EJ$1,$W107)&gt;0,IF(INDEX([1]!Product_Pricing_Table[#Data],MATCH(EJ$1,Products,0),2)="Cores",IF(HostBuild[Use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7" s="60">
        <f>IFERROR(IF(FIND(EK$1,$W107)&gt;0,IF(INDEX([1]!Product_Pricing_Table[#Data],MATCH(EK$1,Products,0),2)="Cores",IF(HostBuild[Use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7" s="61"/>
      <c r="EM107" s="62"/>
      <c r="EN107" s="63"/>
      <c r="EO107"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0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515.61000000000013</v>
      </c>
      <c r="EQ107" s="132">
        <f>(HostBuild[Archive
Full (GB)]+HostBuild[Archive
Incr (GB)])*Storage_DC_Dist_Tape_2014</f>
        <v>115.29612500000002</v>
      </c>
      <c r="ER107" s="132">
        <f>IF(ISNUMBER(HostBuild[Server HW Costs
(Monthly)]),SUM(HostBuild[[#This Row],[Server HW Costs
(Monthly)]:[Tape Costs
(Monthly)]]),0)</f>
        <v>1634.8061250000003</v>
      </c>
      <c r="ES107" s="65">
        <f>HostBuild[Software Costs
'[Year 1']
(Monthly)]+HostBuild[Total Hardware Costs
(Monthly)]</f>
        <v>1634.8061250000003</v>
      </c>
      <c r="ET107" s="65">
        <f>IFERROR(IF(FIND("Safenet",HostBuild[Server Model]),Safenet_PSE_PL600_Maint,0),0)+IFERROR(IF(FIND("XI52",HostBuild[Server Model]),IBM_DIA_XI52_Maint,0),0)+HostBuild[Software Costs
'[After Year 1']
(Monthly)]+HostBuild[Total Hardware Costs
(Monthly)]</f>
        <v>1634.8061250000003</v>
      </c>
      <c r="EU107" s="66">
        <f>SUM(HostBuild[[#This Row],[Server Cost Breakdown]:[Network Cost]])</f>
        <v>1003.9</v>
      </c>
      <c r="EV107" s="67">
        <f>IF(HostBuild[Existing Server?]="Yes - Inside this BoM",0,SUMIF(HostBuild[Alias],HostBuild[Alias],HostBuild[CPU])+SUMIF(HostBuild[Alias],HostBuild[Alias],HostBuild[Existing CPUs]))</f>
        <v>2</v>
      </c>
      <c r="EW107" s="67">
        <f>IF(HostBuild[Existing Server?]="Yes - Inside this BoM",0,SUMIF(HostBuild[Alias],HostBuild[Alias],HostBuild[Cores 
(Licensed Units)])+SUMIF(HostBuild[Alias],HostBuild[Alias],HostBuild[Existing Cores]))</f>
        <v>16</v>
      </c>
      <c r="EX107" s="67">
        <f>IF(HostBuild[Existing Server?]="Yes - Inside this BoM",0,SUMIF(HostBuild[Alias],HostBuild[Alias],HostBuild[RAM 
(GB)])+SUMIF(HostBuild[Alias],HostBuild[Alias],HostBuild[Existing RAM (GB)]))</f>
        <v>256</v>
      </c>
      <c r="EY10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7" s="66">
        <f>IF(ISBLANK(HostBuild[Server Model]),0,IF(HostBuild[Server Tier]="VMware",0,VLOOKUP(HostBuild[Server Tier],[1]!ServerTierRates[#Data],2,0))*HostBuild[CPU]*IF(AND(HostBuild[Server Type]="pSeries",HostBuild[Virtual Platform Storage Type]="Cloud-SAN"),0.25,1))</f>
        <v>608</v>
      </c>
      <c r="FD107" s="66">
        <f>0</f>
        <v>0</v>
      </c>
      <c r="FE107" s="66">
        <f>IF(HostBuild[Server Type]="VMware",HostBuild[RAM 
(GB)]*IF(ISERROR(FIND("DevCloud", HostBuild[Server Model])&gt;0),vRAM_per_vCPU_2014_Monthly,vRAM_per_vCPU_2014_Daily*30),0)</f>
        <v>0</v>
      </c>
      <c r="FF10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0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7" s="69">
        <f>IF(HostBuild[Server Tier]="VMware",0,IF(LEFT(HostBuild[Existing Server?],3)="Yes",0,IF(OR(HostBuild[Server Type]="Sun",HostBuild[Server Type]="pSeries"),Support_Direct_Server_Sun_per_OS_2014,IF(HostBuild[Server Type]="x86",Support_Direct_Server_x86_Wintel_per_OS_2014,0))))</f>
        <v>187.1</v>
      </c>
      <c r="FI10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8" spans="1:165" hidden="1">
      <c r="A108" s="122" t="s">
        <v>53</v>
      </c>
      <c r="B108" s="36"/>
      <c r="C108" s="36"/>
      <c r="D108" s="36"/>
      <c r="E108" s="37"/>
      <c r="F108" s="37"/>
      <c r="G108" s="103"/>
      <c r="H108" s="103"/>
      <c r="I108" s="38"/>
      <c r="J108" s="37"/>
      <c r="K108" s="37"/>
      <c r="L108" s="37"/>
      <c r="M108" s="103" t="e">
        <f ca="1">IF(rngIsDate(HostBuild[CTO Acceptance]),"Y","N")</f>
        <v>#NAME?</v>
      </c>
      <c r="N108" s="123" t="s">
        <v>4</v>
      </c>
      <c r="O108" s="39"/>
      <c r="P108" s="39"/>
      <c r="Q108" s="123" t="s">
        <v>0</v>
      </c>
      <c r="R108" s="126" t="str">
        <f>IF(NOT(ISBLANK(HostBuild[Env Label])),IFERROR(VLOOKUP(HostBuild[Env Label],[1]!tEnv[#Data],3,FALSE),""),"")</f>
        <v/>
      </c>
      <c r="S108" s="104"/>
      <c r="T108" s="40"/>
      <c r="U108" s="105"/>
      <c r="V108" s="123" t="s">
        <v>17</v>
      </c>
      <c r="W108" s="123" t="s">
        <v>190</v>
      </c>
      <c r="X108" s="123" t="s">
        <v>57</v>
      </c>
      <c r="Y108" s="123" t="s">
        <v>188</v>
      </c>
      <c r="Z108" s="126" t="str">
        <f>IF(NOT(ISBLANK(HostBuild[[#This Row],[Product 
(Acronym)]])),CONCATENATE(HostBuild[[#This Row],[Type]],"-",HostBuild[[#This Row],[Product 
(Acronym)]]),"")</f>
        <v>AP-CBOL</v>
      </c>
      <c r="AA108" s="106"/>
      <c r="AB108" s="106" t="s">
        <v>76</v>
      </c>
      <c r="AC108" s="41"/>
      <c r="AD108" s="42"/>
      <c r="AE108" s="42"/>
      <c r="AF108" s="43"/>
      <c r="AG108" s="124"/>
      <c r="AH108" s="107"/>
      <c r="AI108" s="124" t="s">
        <v>20</v>
      </c>
      <c r="AJ108" s="123">
        <f>IF(COUNTIF(HostBuild[Alias],HostBuild[Alias]),1/COUNTIF(HostBuild[Alias],HostBuild[Alias]),0)</f>
        <v>1</v>
      </c>
      <c r="AK108" s="124"/>
      <c r="AL108" s="124"/>
      <c r="AM108" s="44" t="s">
        <v>62</v>
      </c>
      <c r="AN108" s="45" t="str">
        <f>IF(NOT(ISBLANK(HostBuild[Server Model])),VLOOKUP(HostBuild[Server Model],[1]!ServerModelsTier[#Data],2,FALSE),"")</f>
        <v>x86 Tier 3</v>
      </c>
      <c r="AO108" s="45" t="str">
        <f>IF(NOT(ISBLANK(HostBuild[Server Model])),VLOOKUP(HostBuild[Server Model],[1]!ServerModelsTier[#Data],5,FALSE),"")</f>
        <v>x86</v>
      </c>
      <c r="AP108" s="44"/>
      <c r="AQ108" s="44" t="s">
        <v>63</v>
      </c>
      <c r="AR108" s="46">
        <v>2</v>
      </c>
      <c r="AS108" s="108"/>
      <c r="AT108" s="47">
        <v>16</v>
      </c>
      <c r="AU108" s="109" t="str">
        <f>IF(IFERROR(FIND("P-Series",HostBuild[Server Tier]),0),CEILING((HostBuild[Existing CPUs]+HostBuild[CPU])*16,8),"")</f>
        <v/>
      </c>
      <c r="AV108" s="48">
        <v>256</v>
      </c>
      <c r="AW108" s="124"/>
      <c r="AX108" s="124"/>
      <c r="AY108" s="124"/>
      <c r="AZ108" s="49"/>
      <c r="BA108" s="124"/>
      <c r="BB108" s="124"/>
      <c r="BC108" s="42"/>
      <c r="BD108" s="124"/>
      <c r="BE108" s="124"/>
      <c r="BF108" s="124"/>
      <c r="BG108" s="124"/>
      <c r="BH108" s="124"/>
      <c r="BI108" s="124"/>
      <c r="BJ108" s="124"/>
      <c r="BK108"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08" s="127">
        <v>800</v>
      </c>
      <c r="BM108" s="129">
        <f>IF(ISNUMBER(HostBuild[Recommended SAN (GB)]),HostBuild[Recommended SAN (GB)])+IF(HostBuild[Additional SAN (GB)]&gt;0,CEILING(HostBuild[Additional SAN (GB)],LUN),-(CEILING(-HostBuild[Additional SAN (GB)],LUN)))</f>
        <v>1145.8000000000002</v>
      </c>
      <c r="BN108" s="128"/>
      <c r="BO108" s="129">
        <f>HostBuild[SAN (GB)
NEEDED TODAY]+CEILING(HostBuild[SAN (GB)
RESERVED
DO NOT USE TO BUILD], LUN)</f>
        <v>1145.8000000000002</v>
      </c>
      <c r="BP108" s="130"/>
      <c r="BQ108" s="131"/>
      <c r="BR108" s="125" t="s">
        <v>76</v>
      </c>
      <c r="BS108" s="110">
        <f>IF(HostBuild[Existing Server?]&lt;&gt;"Yes - Inside this BoM",IF(ISNUMBER(HostBuild[RAM 
(GB)]),IF(HostBuild[Existing RAM (GB)]+HostBuild[RAM 
(GB)]&gt;0,IF(HostBuild[Virtual Platform Storage Type]="NAS",110+HostBuild[Existing RAM (GB)]+HostBuild[RAM 
(GB)]*1.75,0),0),0),0)</f>
        <v>0</v>
      </c>
      <c r="BT108" s="111"/>
      <c r="BU108" s="112">
        <f>IF(ISNUMBER(HostBuild[Recommended NAS (GB)]),HostBuild[Recommended NAS (GB)])+HostBuild[Additional NAS (GB)]</f>
        <v>0</v>
      </c>
      <c r="BV108" s="50"/>
      <c r="BW108" s="50"/>
      <c r="BX108" s="133">
        <f>IFERROR((HostBuild[SAN (GB)
End-State
DO NOT USE TO BUILD]+HostBuild[SAN (GB) Shared])*25%,"")</f>
        <v>286.45000000000005</v>
      </c>
      <c r="BY108" s="113">
        <f>IFERROR(HostBuild[Archive
Full (GB)]*15%,"")</f>
        <v>42.967500000000008</v>
      </c>
      <c r="BZ108" s="51"/>
      <c r="CA108" s="51"/>
      <c r="CB108" s="52"/>
      <c r="CC108" s="53"/>
      <c r="CD108" s="52"/>
      <c r="CE108" s="54"/>
      <c r="CF108" s="128"/>
      <c r="CG108" s="114"/>
      <c r="CH108" s="55"/>
      <c r="CI108" s="56"/>
      <c r="CJ108" s="57"/>
      <c r="CK108" s="58"/>
      <c r="CL108" s="59">
        <f>IFERROR(IF(FIND(CL$1,$W108)&gt;0,IF(INDEX([1]!Product_Pricing_Table[#Data],MATCH(CL$1,Products,0),2)="Cores",IF(HostBuild[Use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8" s="59">
        <f>IFERROR(IF(FIND(CM$1,$W108)&gt;0,IF(INDEX([1]!Product_Pricing_Table[#Data],MATCH(CM$1,Products,0),2)="Cores",IF(HostBuild[Use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08" s="59">
        <f>IFERROR(IF(FIND(CN$1,$W108)&gt;0,IF(INDEX([1]!Product_Pricing_Table[#Data],MATCH(CN$1,Products,0),2)="Cores",IF(HostBuild[Use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8" s="59">
        <f>IFERROR(IF(FIND(CO$1,$W108)&gt;0,IF(INDEX([1]!Product_Pricing_Table[#Data],MATCH(CO$1,Products,0),2)="Cores",IF(HostBuild[Use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8" s="59">
        <f>IFERROR(IF(FIND(CP$1,$W108)&gt;0,IF(INDEX([1]!Product_Pricing_Table[#Data],MATCH(CP$1,Products,0),2)="Cores",IF(HostBuild[Use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8" s="59">
        <f>IFERROR(IF(FIND(CQ$1,$W108)&gt;0,IF(INDEX([1]!Product_Pricing_Table[#Data],MATCH(CQ$1,Products,0),2)="Cores",IF(HostBuild[Use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8" s="59">
        <f>IFERROR(IF(FIND(CR$1,$W108)&gt;0,IF(INDEX([1]!Product_Pricing_Table[#Data],MATCH(CR$1,Products,0),2)="Cores",IF(HostBuild[Use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8" s="59">
        <f>IFERROR(IF(FIND(CS$1,$W108)&gt;0,IF(INDEX([1]!Product_Pricing_Table[#Data],MATCH(CS$1,Products,0),2)="Cores",IF(HostBuild[Use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8" s="59">
        <f>IFERROR(IF(FIND(CT$1,$W108)&gt;0,IF(INDEX([1]!Product_Pricing_Table[#Data],MATCH(CT$1,Products,0),2)="Cores",IF(HostBuild[Use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8" s="59">
        <f>IFERROR(IF(FIND(CU$1,$W108)&gt;0,IF(INDEX([1]!Product_Pricing_Table[#Data],MATCH(CU$1,Products,0),2)="Cores",IF(HostBuild[Use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08" s="59">
        <f>IFERROR(IF(FIND(CV$1,$W108)&gt;0,IF(INDEX([1]!Product_Pricing_Table[#Data],MATCH(CV$1,Products,0),2)="Cores",IF(HostBuild[Use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8" s="59">
        <f>IFERROR(IF(FIND(CW$1,$W108)&gt;0,IF(INDEX([1]!Product_Pricing_Table[#Data],MATCH(CW$1,Products,0),2)="Cores",IF(HostBuild[Use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8" s="59">
        <f>IFERROR(IF(FIND(CX$1,$W108)&gt;0,IF(INDEX([1]!Product_Pricing_Table[#Data],MATCH(CX$1,Products,0),2)="Cores",IF(HostBuild[Use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08" s="59">
        <f>IFERROR(IF(FIND(CY$1,$W108)&gt;0,IF(INDEX([1]!Product_Pricing_Table[#Data],MATCH(CY$1,Products,0),2)="Cores",IF(HostBuild[Use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8" s="59">
        <f>IFERROR(IF(FIND(CZ$1,$W108)&gt;0,IF(INDEX([1]!Product_Pricing_Table[#Data],MATCH(CZ$1,Products,0),2)="Cores",IF(HostBuild[Use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8" s="59">
        <f>IFERROR(IF(FIND(DA$1,$W108)&gt;0,IF(INDEX([1]!Product_Pricing_Table[#Data],MATCH(DA$1,Products,0),2)="Cores",IF(HostBuild[Use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8" s="59">
        <f>IFERROR(IF(FIND(DB$1,$W108)&gt;0,IF(INDEX([1]!Product_Pricing_Table[#Data],MATCH(DB$1,Products,0),2)="Cores",IF(HostBuild[Use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8" s="59">
        <f>IFERROR(IF(FIND(DC$1,$W108)&gt;0,IF(INDEX([1]!Product_Pricing_Table[#Data],MATCH(DC$1,Products,0),2)="Cores",IF(HostBuild[Use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8" s="59">
        <f>IFERROR(IF(FIND(DD$1,$W108)&gt;0,IF(INDEX([1]!Product_Pricing_Table[#Data],MATCH(DD$1,Products,0),2)="Cores",IF(HostBuild[Use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8" s="59">
        <f>IFERROR(IF(FIND(DE$1,$W108)&gt;0,IF(INDEX([1]!Product_Pricing_Table[#Data],MATCH(DE$1,Products,0),2)="Cores",IF(HostBuild[Use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8" s="60">
        <f>IFERROR(IF(FIND(DF$1,$W108)&gt;0,IF(INDEX([1]!Product_Pricing_Table[#Data],MATCH(DF$1,Products,0),2)="Cores",IF(HostBuild[Use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8" s="60">
        <f>IFERROR(IF(FIND(DG$1,$W108)&gt;0,IF(INDEX([1]!Product_Pricing_Table[#Data],MATCH(DG$1,Products,0),2)="Cores",IF(HostBuild[Use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8" s="59">
        <f>IFERROR(IF(FIND(DH$1,$W108)&gt;0,IF(INDEX([1]!Product_Pricing_Table[#Data],MATCH(DH$1,Products,0),2)="Cores",IF(HostBuild[Use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8" s="60">
        <f>IFERROR(IF(FIND(DI$1,$W108)&gt;0,IF(INDEX([1]!Product_Pricing_Table[#Data],MATCH(DI$1,Products,0),2)="Cores",IF(HostBuild[Use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8" s="59">
        <f>IFERROR(IF(FIND(DJ$1,$W108)&gt;0,IF(INDEX([1]!Product_Pricing_Table[#Data],MATCH(DJ$1,Products,0),2)="Cores",IF(HostBuild[Use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8" s="59">
        <f>IFERROR(IF(FIND(DK$1,$W108)&gt;0,IF(INDEX([1]!Product_Pricing_Table[#Data],MATCH(DK$1,Products,0),2)="Cores",IF(HostBuild[Use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8" s="59">
        <f>IFERROR(IF(FIND(DL$1,$W108)&gt;0,IF(INDEX([1]!Product_Pricing_Table[#Data],MATCH(DL$1,Products,0),2)="Cores",IF(HostBuild[Use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8" s="59">
        <f>IFERROR(IF(FIND(DM$1,$W108)&gt;0,IF(INDEX([1]!Product_Pricing_Table[#Data],MATCH(DM$1,Products,0),2)="Cores",IF(HostBuild[Use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8" s="59">
        <f>IFERROR(IF(FIND(DN$1,$W108)&gt;0,IF(INDEX([1]!Product_Pricing_Table[#Data],MATCH(DN$1,Products,0),2)="Cores",IF(HostBuild[Use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8" s="59">
        <f>IFERROR(IF(FIND(DO$1,$W108)&gt;0,IF(INDEX([1]!Product_Pricing_Table[#Data],MATCH(DO$1,Products,0),2)="Cores",IF(HostBuild[Use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8" s="59">
        <f>IFERROR(IF(FIND(DP$1,$W108)&gt;0,IF(INDEX([1]!Product_Pricing_Table[#Data],MATCH(DP$1,Products,0),2)="Cores",IF(HostBuild[Use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8" s="59">
        <f>IFERROR(IF(FIND(DQ$1,$W108)&gt;0,IF(INDEX([1]!Product_Pricing_Table[#Data],MATCH(DQ$1,Products,0),2)="Cores",IF(HostBuild[Use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8" s="59">
        <f>IFERROR(IF(FIND(DR$1,$W108)&gt;0,IF(INDEX([1]!Product_Pricing_Table[#Data],MATCH(DR$1,Products,0),2)="Cores",IF(HostBuild[Use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8" s="59">
        <f>IFERROR(IF(FIND(DS$1,$W108)&gt;0,IF(INDEX([1]!Product_Pricing_Table[#Data],MATCH(DS$1,Products,0),2)="Cores",IF(HostBuild[Use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8" s="59">
        <f>IFERROR(IF(FIND(DT$1,$W108)&gt;0,IF(INDEX([1]!Product_Pricing_Table[#Data],MATCH(DT$1,Products,0),2)="Cores",IF(HostBuild[Use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8" s="59">
        <f>IFERROR(IF(FIND(DU$1,$W108)&gt;0,IF(INDEX([1]!Product_Pricing_Table[#Data],MATCH(DU$1,Products,0),2)="Cores",IF(HostBuild[Use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8" s="59">
        <f>IFERROR(IF(FIND(DV$1,$W108)&gt;0,IF(INDEX([1]!Product_Pricing_Table[#Data],MATCH(DV$1,Products,0),2)="Cores",IF(HostBuild[Use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8" s="59">
        <f>IFERROR(IF(FIND(DW$1,$W108)&gt;0,IF(INDEX([1]!Product_Pricing_Table[#Data],MATCH(DW$1,Products,0),2)="Cores",IF(HostBuild[Use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8" s="59">
        <f>IFERROR(IF(FIND(DX$1,$W108)&gt;0,IF(INDEX([1]!Product_Pricing_Table[#Data],MATCH(DX$1,Products,0),2)="Cores",IF(HostBuild[Use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8" s="59">
        <f>IFERROR(IF(FIND(DY$1,$W108)&gt;0,IF(INDEX([1]!Product_Pricing_Table[#Data],MATCH(DY$1,Products,0),2)="Cores",IF(HostBuild[Use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8" s="59">
        <f>IFERROR(IF(FIND(DZ$1,$W108)&gt;0,IF(INDEX([1]!Product_Pricing_Table[#Data],MATCH(DZ$1,Products,0),2)="Cores",IF(HostBuild[Use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8" s="59">
        <f>IFERROR(IF(FIND(EA$1,$W108)&gt;0,IF(INDEX([1]!Product_Pricing_Table[#Data],MATCH(EA$1,Products,0),2)="Cores",IF(HostBuild[Use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8" s="59">
        <f>IFERROR(IF(FIND(EB$1,$W108)&gt;0,IF(INDEX([1]!Product_Pricing_Table[#Data],MATCH(EB$1,Products,0),2)="Cores",IF(HostBuild[Use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8" s="60">
        <f>IFERROR(IF(FIND(EC$1,$W108)&gt;0,IF(INDEX([1]!Product_Pricing_Table[#Data],MATCH(EC$1,Products,0),2)="Cores",IF(HostBuild[Use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8" s="59">
        <f>IFERROR(IF(FIND(ED$1,$W108)&gt;0,IF(INDEX([1]!Product_Pricing_Table[#Data],MATCH(ED$1,Products,0),2)="Cores",IF(HostBuild[Use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8" s="59">
        <f>IFERROR(IF(FIND(EE$1,$W108)&gt;0,IF(INDEX([1]!Product_Pricing_Table[#Data],MATCH(EE$1,Products,0),2)="Cores",IF(HostBuild[Use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8" s="59">
        <f>IFERROR(IF(FIND(EF$1,$W108)&gt;0,IF(INDEX([1]!Product_Pricing_Table[#Data],MATCH(EF$1,Products,0),2)="Cores",IF(HostBuild[Use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8" s="59">
        <f>IFERROR(IF(FIND(EG$1,$W108)&gt;0,IF(INDEX([1]!Product_Pricing_Table[#Data],MATCH(EG$1,Products,0),2)="Cores",IF(HostBuild[Use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8" s="59">
        <f>IFERROR(IF(FIND(EH$1,$W108)&gt;0,IF(INDEX([1]!Product_Pricing_Table[#Data],MATCH(EH$1,Products,0),2)="Cores",IF(HostBuild[Use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8" s="59">
        <f>IFERROR(IF(FIND(EI$1,$W108)&gt;0,IF(INDEX([1]!Product_Pricing_Table[#Data],MATCH(EI$1,Products,0),2)="Cores",IF(HostBuild[Use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8" s="59">
        <f>IFERROR(IF(FIND(EJ$1,$W108)&gt;0,IF(INDEX([1]!Product_Pricing_Table[#Data],MATCH(EJ$1,Products,0),2)="Cores",IF(HostBuild[Use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8" s="60">
        <f>IFERROR(IF(FIND(EK$1,$W108)&gt;0,IF(INDEX([1]!Product_Pricing_Table[#Data],MATCH(EK$1,Products,0),2)="Cores",IF(HostBuild[Use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8" s="61"/>
      <c r="EM108" s="62"/>
      <c r="EN108" s="63"/>
      <c r="EO108"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0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515.61000000000013</v>
      </c>
      <c r="EQ108" s="132">
        <f>(HostBuild[Archive
Full (GB)]+HostBuild[Archive
Incr (GB)])*Storage_DC_Dist_Tape_2014</f>
        <v>115.29612500000002</v>
      </c>
      <c r="ER108" s="132">
        <f>IF(ISNUMBER(HostBuild[Server HW Costs
(Monthly)]),SUM(HostBuild[[#This Row],[Server HW Costs
(Monthly)]:[Tape Costs
(Monthly)]]),0)</f>
        <v>1634.8061250000003</v>
      </c>
      <c r="ES108" s="65">
        <f>HostBuild[Software Costs
'[Year 1']
(Monthly)]+HostBuild[Total Hardware Costs
(Monthly)]</f>
        <v>1634.8061250000003</v>
      </c>
      <c r="ET108" s="65">
        <f>IFERROR(IF(FIND("Safenet",HostBuild[Server Model]),Safenet_PSE_PL600_Maint,0),0)+IFERROR(IF(FIND("XI52",HostBuild[Server Model]),IBM_DIA_XI52_Maint,0),0)+HostBuild[Software Costs
'[After Year 1']
(Monthly)]+HostBuild[Total Hardware Costs
(Monthly)]</f>
        <v>1634.8061250000003</v>
      </c>
      <c r="EU108" s="66">
        <f>SUM(HostBuild[[#This Row],[Server Cost Breakdown]:[Network Cost]])</f>
        <v>1003.9</v>
      </c>
      <c r="EV108" s="67">
        <f>IF(HostBuild[Existing Server?]="Yes - Inside this BoM",0,SUMIF(HostBuild[Alias],HostBuild[Alias],HostBuild[CPU])+SUMIF(HostBuild[Alias],HostBuild[Alias],HostBuild[Existing CPUs]))</f>
        <v>2</v>
      </c>
      <c r="EW108" s="67">
        <f>IF(HostBuild[Existing Server?]="Yes - Inside this BoM",0,SUMIF(HostBuild[Alias],HostBuild[Alias],HostBuild[Cores 
(Licensed Units)])+SUMIF(HostBuild[Alias],HostBuild[Alias],HostBuild[Existing Cores]))</f>
        <v>16</v>
      </c>
      <c r="EX108" s="67">
        <f>IF(HostBuild[Existing Server?]="Yes - Inside this BoM",0,SUMIF(HostBuild[Alias],HostBuild[Alias],HostBuild[RAM 
(GB)])+SUMIF(HostBuild[Alias],HostBuild[Alias],HostBuild[Existing RAM (GB)]))</f>
        <v>256</v>
      </c>
      <c r="EY10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8" s="66">
        <f>IF(ISBLANK(HostBuild[Server Model]),0,IF(HostBuild[Server Tier]="VMware",0,VLOOKUP(HostBuild[Server Tier],[1]!ServerTierRates[#Data],2,0))*HostBuild[CPU]*IF(AND(HostBuild[Server Type]="pSeries",HostBuild[Virtual Platform Storage Type]="Cloud-SAN"),0.25,1))</f>
        <v>608</v>
      </c>
      <c r="FD108" s="66">
        <f>0</f>
        <v>0</v>
      </c>
      <c r="FE108" s="66">
        <f>IF(HostBuild[Server Type]="VMware",HostBuild[RAM 
(GB)]*IF(ISERROR(FIND("DevCloud", HostBuild[Server Model])&gt;0),vRAM_per_vCPU_2014_Monthly,vRAM_per_vCPU_2014_Daily*30),0)</f>
        <v>0</v>
      </c>
      <c r="FF10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0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8" s="69">
        <f>IF(HostBuild[Server Tier]="VMware",0,IF(LEFT(HostBuild[Existing Server?],3)="Yes",0,IF(OR(HostBuild[Server Type]="Sun",HostBuild[Server Type]="pSeries"),Support_Direct_Server_Sun_per_OS_2014,IF(HostBuild[Server Type]="x86",Support_Direct_Server_x86_Wintel_per_OS_2014,0))))</f>
        <v>187.1</v>
      </c>
      <c r="FI10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09" spans="1:165" hidden="1">
      <c r="A109" s="122" t="s">
        <v>53</v>
      </c>
      <c r="B109" s="36"/>
      <c r="C109" s="36"/>
      <c r="D109" s="36"/>
      <c r="E109" s="37"/>
      <c r="F109" s="37"/>
      <c r="G109" s="103"/>
      <c r="H109" s="103"/>
      <c r="I109" s="38"/>
      <c r="J109" s="37"/>
      <c r="K109" s="37"/>
      <c r="L109" s="37"/>
      <c r="M109" s="103" t="e">
        <f ca="1">IF(rngIsDate(HostBuild[CTO Acceptance]),"Y","N")</f>
        <v>#NAME?</v>
      </c>
      <c r="N109" s="123" t="s">
        <v>3</v>
      </c>
      <c r="O109" s="39"/>
      <c r="P109" s="39"/>
      <c r="Q109" s="123" t="s">
        <v>189</v>
      </c>
      <c r="R109" s="126" t="str">
        <f>IF(NOT(ISBLANK(HostBuild[Env Label])),IFERROR(VLOOKUP(HostBuild[Env Label],[1]!tEnv[#Data],3,FALSE),""),"")</f>
        <v/>
      </c>
      <c r="S109" s="104"/>
      <c r="T109" s="40"/>
      <c r="U109" s="105"/>
      <c r="V109" s="123" t="s">
        <v>17</v>
      </c>
      <c r="W109" s="123" t="s">
        <v>190</v>
      </c>
      <c r="X109" s="123" t="s">
        <v>57</v>
      </c>
      <c r="Y109" s="123" t="s">
        <v>188</v>
      </c>
      <c r="Z109" s="126" t="str">
        <f>IF(NOT(ISBLANK(HostBuild[[#This Row],[Product 
(Acronym)]])),CONCATENATE(HostBuild[[#This Row],[Type]],"-",HostBuild[[#This Row],[Product 
(Acronym)]]),"")</f>
        <v>AP-CBOL</v>
      </c>
      <c r="AA109" s="106"/>
      <c r="AB109" s="106" t="s">
        <v>76</v>
      </c>
      <c r="AC109" s="41"/>
      <c r="AD109" s="42"/>
      <c r="AE109" s="42"/>
      <c r="AF109" s="43"/>
      <c r="AG109" s="124"/>
      <c r="AH109" s="107"/>
      <c r="AI109" s="124" t="s">
        <v>21</v>
      </c>
      <c r="AJ109" s="123">
        <f>IF(COUNTIF(HostBuild[Alias],HostBuild[Alias]),1/COUNTIF(HostBuild[Alias],HostBuild[Alias]),0)</f>
        <v>1</v>
      </c>
      <c r="AK109" s="124"/>
      <c r="AL109" s="124"/>
      <c r="AM109" s="44" t="s">
        <v>62</v>
      </c>
      <c r="AN109" s="45" t="str">
        <f>IF(NOT(ISBLANK(HostBuild[Server Model])),VLOOKUP(HostBuild[Server Model],[1]!ServerModelsTier[#Data],2,FALSE),"")</f>
        <v>x86 Tier 3</v>
      </c>
      <c r="AO109" s="45" t="str">
        <f>IF(NOT(ISBLANK(HostBuild[Server Model])),VLOOKUP(HostBuild[Server Model],[1]!ServerModelsTier[#Data],5,FALSE),"")</f>
        <v>x86</v>
      </c>
      <c r="AP109" s="44"/>
      <c r="AQ109" s="44" t="s">
        <v>63</v>
      </c>
      <c r="AR109" s="46">
        <v>2</v>
      </c>
      <c r="AS109" s="108"/>
      <c r="AT109" s="47">
        <v>16</v>
      </c>
      <c r="AU109" s="109" t="str">
        <f>IF(IFERROR(FIND("P-Series",HostBuild[Server Tier]),0),CEILING((HostBuild[Existing CPUs]+HostBuild[CPU])*16,8),"")</f>
        <v/>
      </c>
      <c r="AV109" s="48">
        <v>256</v>
      </c>
      <c r="AW109" s="124"/>
      <c r="AX109" s="124"/>
      <c r="AY109" s="124"/>
      <c r="AZ109" s="49"/>
      <c r="BA109" s="124"/>
      <c r="BB109" s="124"/>
      <c r="BC109" s="42"/>
      <c r="BD109" s="124"/>
      <c r="BE109" s="124"/>
      <c r="BF109" s="124"/>
      <c r="BG109" s="124"/>
      <c r="BH109" s="124"/>
      <c r="BI109" s="124"/>
      <c r="BJ109" s="124"/>
      <c r="BK109"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09" s="127">
        <v>800</v>
      </c>
      <c r="BM109" s="129">
        <f>IF(ISNUMBER(HostBuild[Recommended SAN (GB)]),HostBuild[Recommended SAN (GB)])+IF(HostBuild[Additional SAN (GB)]&gt;0,CEILING(HostBuild[Additional SAN (GB)],LUN),-(CEILING(-HostBuild[Additional SAN (GB)],LUN)))</f>
        <v>1145.8000000000002</v>
      </c>
      <c r="BN109" s="128"/>
      <c r="BO109" s="129">
        <f>HostBuild[SAN (GB)
NEEDED TODAY]+CEILING(HostBuild[SAN (GB)
RESERVED
DO NOT USE TO BUILD], LUN)</f>
        <v>1145.8000000000002</v>
      </c>
      <c r="BP109" s="130"/>
      <c r="BQ109" s="131"/>
      <c r="BR109" s="125" t="s">
        <v>76</v>
      </c>
      <c r="BS109" s="110">
        <f>IF(HostBuild[Existing Server?]&lt;&gt;"Yes - Inside this BoM",IF(ISNUMBER(HostBuild[RAM 
(GB)]),IF(HostBuild[Existing RAM (GB)]+HostBuild[RAM 
(GB)]&gt;0,IF(HostBuild[Virtual Platform Storage Type]="NAS",110+HostBuild[Existing RAM (GB)]+HostBuild[RAM 
(GB)]*1.75,0),0),0),0)</f>
        <v>0</v>
      </c>
      <c r="BT109" s="111"/>
      <c r="BU109" s="112">
        <f>IF(ISNUMBER(HostBuild[Recommended NAS (GB)]),HostBuild[Recommended NAS (GB)])+HostBuild[Additional NAS (GB)]</f>
        <v>0</v>
      </c>
      <c r="BV109" s="50"/>
      <c r="BW109" s="50"/>
      <c r="BX109" s="133">
        <f>IFERROR((HostBuild[SAN (GB)
End-State
DO NOT USE TO BUILD]+HostBuild[SAN (GB) Shared])*25%,"")</f>
        <v>286.45000000000005</v>
      </c>
      <c r="BY109" s="113">
        <f>IFERROR(HostBuild[Archive
Full (GB)]*15%,"")</f>
        <v>42.967500000000008</v>
      </c>
      <c r="BZ109" s="51"/>
      <c r="CA109" s="51"/>
      <c r="CB109" s="52"/>
      <c r="CC109" s="53"/>
      <c r="CD109" s="52"/>
      <c r="CE109" s="54"/>
      <c r="CF109" s="128"/>
      <c r="CG109" s="114"/>
      <c r="CH109" s="55"/>
      <c r="CI109" s="56"/>
      <c r="CJ109" s="57"/>
      <c r="CK109" s="58"/>
      <c r="CL109" s="59">
        <f>IFERROR(IF(FIND(CL$1,$W109)&gt;0,IF(INDEX([1]!Product_Pricing_Table[#Data],MATCH(CL$1,Products,0),2)="Cores",IF(HostBuild[Use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09" s="59">
        <f>IFERROR(IF(FIND(CM$1,$W109)&gt;0,IF(INDEX([1]!Product_Pricing_Table[#Data],MATCH(CM$1,Products,0),2)="Cores",IF(HostBuild[Use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09" s="59">
        <f>IFERROR(IF(FIND(CN$1,$W109)&gt;0,IF(INDEX([1]!Product_Pricing_Table[#Data],MATCH(CN$1,Products,0),2)="Cores",IF(HostBuild[Use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09" s="59">
        <f>IFERROR(IF(FIND(CO$1,$W109)&gt;0,IF(INDEX([1]!Product_Pricing_Table[#Data],MATCH(CO$1,Products,0),2)="Cores",IF(HostBuild[Use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09" s="59">
        <f>IFERROR(IF(FIND(CP$1,$W109)&gt;0,IF(INDEX([1]!Product_Pricing_Table[#Data],MATCH(CP$1,Products,0),2)="Cores",IF(HostBuild[Use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09" s="59">
        <f>IFERROR(IF(FIND(CQ$1,$W109)&gt;0,IF(INDEX([1]!Product_Pricing_Table[#Data],MATCH(CQ$1,Products,0),2)="Cores",IF(HostBuild[Use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09" s="59">
        <f>IFERROR(IF(FIND(CR$1,$W109)&gt;0,IF(INDEX([1]!Product_Pricing_Table[#Data],MATCH(CR$1,Products,0),2)="Cores",IF(HostBuild[Use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09" s="59">
        <f>IFERROR(IF(FIND(CS$1,$W109)&gt;0,IF(INDEX([1]!Product_Pricing_Table[#Data],MATCH(CS$1,Products,0),2)="Cores",IF(HostBuild[Use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09" s="59">
        <f>IFERROR(IF(FIND(CT$1,$W109)&gt;0,IF(INDEX([1]!Product_Pricing_Table[#Data],MATCH(CT$1,Products,0),2)="Cores",IF(HostBuild[Use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09" s="59">
        <f>IFERROR(IF(FIND(CU$1,$W109)&gt;0,IF(INDEX([1]!Product_Pricing_Table[#Data],MATCH(CU$1,Products,0),2)="Cores",IF(HostBuild[Use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09" s="59">
        <f>IFERROR(IF(FIND(CV$1,$W109)&gt;0,IF(INDEX([1]!Product_Pricing_Table[#Data],MATCH(CV$1,Products,0),2)="Cores",IF(HostBuild[Use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09" s="59">
        <f>IFERROR(IF(FIND(CW$1,$W109)&gt;0,IF(INDEX([1]!Product_Pricing_Table[#Data],MATCH(CW$1,Products,0),2)="Cores",IF(HostBuild[Use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09" s="59">
        <f>IFERROR(IF(FIND(CX$1,$W109)&gt;0,IF(INDEX([1]!Product_Pricing_Table[#Data],MATCH(CX$1,Products,0),2)="Cores",IF(HostBuild[Use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09" s="59">
        <f>IFERROR(IF(FIND(CY$1,$W109)&gt;0,IF(INDEX([1]!Product_Pricing_Table[#Data],MATCH(CY$1,Products,0),2)="Cores",IF(HostBuild[Use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09" s="59">
        <f>IFERROR(IF(FIND(CZ$1,$W109)&gt;0,IF(INDEX([1]!Product_Pricing_Table[#Data],MATCH(CZ$1,Products,0),2)="Cores",IF(HostBuild[Use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09" s="59">
        <f>IFERROR(IF(FIND(DA$1,$W109)&gt;0,IF(INDEX([1]!Product_Pricing_Table[#Data],MATCH(DA$1,Products,0),2)="Cores",IF(HostBuild[Use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09" s="59">
        <f>IFERROR(IF(FIND(DB$1,$W109)&gt;0,IF(INDEX([1]!Product_Pricing_Table[#Data],MATCH(DB$1,Products,0),2)="Cores",IF(HostBuild[Use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09" s="59">
        <f>IFERROR(IF(FIND(DC$1,$W109)&gt;0,IF(INDEX([1]!Product_Pricing_Table[#Data],MATCH(DC$1,Products,0),2)="Cores",IF(HostBuild[Use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09" s="59">
        <f>IFERROR(IF(FIND(DD$1,$W109)&gt;0,IF(INDEX([1]!Product_Pricing_Table[#Data],MATCH(DD$1,Products,0),2)="Cores",IF(HostBuild[Use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09" s="59">
        <f>IFERROR(IF(FIND(DE$1,$W109)&gt;0,IF(INDEX([1]!Product_Pricing_Table[#Data],MATCH(DE$1,Products,0),2)="Cores",IF(HostBuild[Use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09" s="60">
        <f>IFERROR(IF(FIND(DF$1,$W109)&gt;0,IF(INDEX([1]!Product_Pricing_Table[#Data],MATCH(DF$1,Products,0),2)="Cores",IF(HostBuild[Use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09" s="60">
        <f>IFERROR(IF(FIND(DG$1,$W109)&gt;0,IF(INDEX([1]!Product_Pricing_Table[#Data],MATCH(DG$1,Products,0),2)="Cores",IF(HostBuild[Use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09" s="59">
        <f>IFERROR(IF(FIND(DH$1,$W109)&gt;0,IF(INDEX([1]!Product_Pricing_Table[#Data],MATCH(DH$1,Products,0),2)="Cores",IF(HostBuild[Use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09" s="60">
        <f>IFERROR(IF(FIND(DI$1,$W109)&gt;0,IF(INDEX([1]!Product_Pricing_Table[#Data],MATCH(DI$1,Products,0),2)="Cores",IF(HostBuild[Use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09" s="59">
        <f>IFERROR(IF(FIND(DJ$1,$W109)&gt;0,IF(INDEX([1]!Product_Pricing_Table[#Data],MATCH(DJ$1,Products,0),2)="Cores",IF(HostBuild[Use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09" s="59">
        <f>IFERROR(IF(FIND(DK$1,$W109)&gt;0,IF(INDEX([1]!Product_Pricing_Table[#Data],MATCH(DK$1,Products,0),2)="Cores",IF(HostBuild[Use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09" s="59">
        <f>IFERROR(IF(FIND(DL$1,$W109)&gt;0,IF(INDEX([1]!Product_Pricing_Table[#Data],MATCH(DL$1,Products,0),2)="Cores",IF(HostBuild[Use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09" s="59">
        <f>IFERROR(IF(FIND(DM$1,$W109)&gt;0,IF(INDEX([1]!Product_Pricing_Table[#Data],MATCH(DM$1,Products,0),2)="Cores",IF(HostBuild[Use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09" s="59">
        <f>IFERROR(IF(FIND(DN$1,$W109)&gt;0,IF(INDEX([1]!Product_Pricing_Table[#Data],MATCH(DN$1,Products,0),2)="Cores",IF(HostBuild[Use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09" s="59">
        <f>IFERROR(IF(FIND(DO$1,$W109)&gt;0,IF(INDEX([1]!Product_Pricing_Table[#Data],MATCH(DO$1,Products,0),2)="Cores",IF(HostBuild[Use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09" s="59">
        <f>IFERROR(IF(FIND(DP$1,$W109)&gt;0,IF(INDEX([1]!Product_Pricing_Table[#Data],MATCH(DP$1,Products,0),2)="Cores",IF(HostBuild[Use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09" s="59">
        <f>IFERROR(IF(FIND(DQ$1,$W109)&gt;0,IF(INDEX([1]!Product_Pricing_Table[#Data],MATCH(DQ$1,Products,0),2)="Cores",IF(HostBuild[Use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09" s="59">
        <f>IFERROR(IF(FIND(DR$1,$W109)&gt;0,IF(INDEX([1]!Product_Pricing_Table[#Data],MATCH(DR$1,Products,0),2)="Cores",IF(HostBuild[Use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09" s="59">
        <f>IFERROR(IF(FIND(DS$1,$W109)&gt;0,IF(INDEX([1]!Product_Pricing_Table[#Data],MATCH(DS$1,Products,0),2)="Cores",IF(HostBuild[Use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09" s="59">
        <f>IFERROR(IF(FIND(DT$1,$W109)&gt;0,IF(INDEX([1]!Product_Pricing_Table[#Data],MATCH(DT$1,Products,0),2)="Cores",IF(HostBuild[Use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09" s="59">
        <f>IFERROR(IF(FIND(DU$1,$W109)&gt;0,IF(INDEX([1]!Product_Pricing_Table[#Data],MATCH(DU$1,Products,0),2)="Cores",IF(HostBuild[Use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09" s="59">
        <f>IFERROR(IF(FIND(DV$1,$W109)&gt;0,IF(INDEX([1]!Product_Pricing_Table[#Data],MATCH(DV$1,Products,0),2)="Cores",IF(HostBuild[Use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09" s="59">
        <f>IFERROR(IF(FIND(DW$1,$W109)&gt;0,IF(INDEX([1]!Product_Pricing_Table[#Data],MATCH(DW$1,Products,0),2)="Cores",IF(HostBuild[Use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09" s="59">
        <f>IFERROR(IF(FIND(DX$1,$W109)&gt;0,IF(INDEX([1]!Product_Pricing_Table[#Data],MATCH(DX$1,Products,0),2)="Cores",IF(HostBuild[Use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09" s="59">
        <f>IFERROR(IF(FIND(DY$1,$W109)&gt;0,IF(INDEX([1]!Product_Pricing_Table[#Data],MATCH(DY$1,Products,0),2)="Cores",IF(HostBuild[Use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09" s="59">
        <f>IFERROR(IF(FIND(DZ$1,$W109)&gt;0,IF(INDEX([1]!Product_Pricing_Table[#Data],MATCH(DZ$1,Products,0),2)="Cores",IF(HostBuild[Use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09" s="59">
        <f>IFERROR(IF(FIND(EA$1,$W109)&gt;0,IF(INDEX([1]!Product_Pricing_Table[#Data],MATCH(EA$1,Products,0),2)="Cores",IF(HostBuild[Use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09" s="59">
        <f>IFERROR(IF(FIND(EB$1,$W109)&gt;0,IF(INDEX([1]!Product_Pricing_Table[#Data],MATCH(EB$1,Products,0),2)="Cores",IF(HostBuild[Use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09" s="60">
        <f>IFERROR(IF(FIND(EC$1,$W109)&gt;0,IF(INDEX([1]!Product_Pricing_Table[#Data],MATCH(EC$1,Products,0),2)="Cores",IF(HostBuild[Use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09" s="59">
        <f>IFERROR(IF(FIND(ED$1,$W109)&gt;0,IF(INDEX([1]!Product_Pricing_Table[#Data],MATCH(ED$1,Products,0),2)="Cores",IF(HostBuild[Use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09" s="59">
        <f>IFERROR(IF(FIND(EE$1,$W109)&gt;0,IF(INDEX([1]!Product_Pricing_Table[#Data],MATCH(EE$1,Products,0),2)="Cores",IF(HostBuild[Use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09" s="59">
        <f>IFERROR(IF(FIND(EF$1,$W109)&gt;0,IF(INDEX([1]!Product_Pricing_Table[#Data],MATCH(EF$1,Products,0),2)="Cores",IF(HostBuild[Use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09" s="59">
        <f>IFERROR(IF(FIND(EG$1,$W109)&gt;0,IF(INDEX([1]!Product_Pricing_Table[#Data],MATCH(EG$1,Products,0),2)="Cores",IF(HostBuild[Use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09" s="59">
        <f>IFERROR(IF(FIND(EH$1,$W109)&gt;0,IF(INDEX([1]!Product_Pricing_Table[#Data],MATCH(EH$1,Products,0),2)="Cores",IF(HostBuild[Use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09" s="59">
        <f>IFERROR(IF(FIND(EI$1,$W109)&gt;0,IF(INDEX([1]!Product_Pricing_Table[#Data],MATCH(EI$1,Products,0),2)="Cores",IF(HostBuild[Use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09" s="59">
        <f>IFERROR(IF(FIND(EJ$1,$W109)&gt;0,IF(INDEX([1]!Product_Pricing_Table[#Data],MATCH(EJ$1,Products,0),2)="Cores",IF(HostBuild[Use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09" s="60">
        <f>IFERROR(IF(FIND(EK$1,$W109)&gt;0,IF(INDEX([1]!Product_Pricing_Table[#Data],MATCH(EK$1,Products,0),2)="Cores",IF(HostBuild[Use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09" s="61"/>
      <c r="EM109" s="62"/>
      <c r="EN109" s="63"/>
      <c r="EO109"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0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515.61000000000013</v>
      </c>
      <c r="EQ109" s="132">
        <f>(HostBuild[Archive
Full (GB)]+HostBuild[Archive
Incr (GB)])*Storage_DC_Dist_Tape_2014</f>
        <v>115.29612500000002</v>
      </c>
      <c r="ER109" s="132">
        <f>IF(ISNUMBER(HostBuild[Server HW Costs
(Monthly)]),SUM(HostBuild[[#This Row],[Server HW Costs
(Monthly)]:[Tape Costs
(Monthly)]]),0)</f>
        <v>1634.8061250000003</v>
      </c>
      <c r="ES109" s="65">
        <f>HostBuild[Software Costs
'[Year 1']
(Monthly)]+HostBuild[Total Hardware Costs
(Monthly)]</f>
        <v>1634.8061250000003</v>
      </c>
      <c r="ET109" s="65">
        <f>IFERROR(IF(FIND("Safenet",HostBuild[Server Model]),Safenet_PSE_PL600_Maint,0),0)+IFERROR(IF(FIND("XI52",HostBuild[Server Model]),IBM_DIA_XI52_Maint,0),0)+HostBuild[Software Costs
'[After Year 1']
(Monthly)]+HostBuild[Total Hardware Costs
(Monthly)]</f>
        <v>1634.8061250000003</v>
      </c>
      <c r="EU109" s="66">
        <f>SUM(HostBuild[[#This Row],[Server Cost Breakdown]:[Network Cost]])</f>
        <v>1003.9</v>
      </c>
      <c r="EV109" s="67">
        <f>IF(HostBuild[Existing Server?]="Yes - Inside this BoM",0,SUMIF(HostBuild[Alias],HostBuild[Alias],HostBuild[CPU])+SUMIF(HostBuild[Alias],HostBuild[Alias],HostBuild[Existing CPUs]))</f>
        <v>2</v>
      </c>
      <c r="EW109" s="67">
        <f>IF(HostBuild[Existing Server?]="Yes - Inside this BoM",0,SUMIF(HostBuild[Alias],HostBuild[Alias],HostBuild[Cores 
(Licensed Units)])+SUMIF(HostBuild[Alias],HostBuild[Alias],HostBuild[Existing Cores]))</f>
        <v>16</v>
      </c>
      <c r="EX109" s="67">
        <f>IF(HostBuild[Existing Server?]="Yes - Inside this BoM",0,SUMIF(HostBuild[Alias],HostBuild[Alias],HostBuild[RAM 
(GB)])+SUMIF(HostBuild[Alias],HostBuild[Alias],HostBuild[Existing RAM (GB)]))</f>
        <v>256</v>
      </c>
      <c r="EY10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0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0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0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09" s="66">
        <f>IF(ISBLANK(HostBuild[Server Model]),0,IF(HostBuild[Server Tier]="VMware",0,VLOOKUP(HostBuild[Server Tier],[1]!ServerTierRates[#Data],2,0))*HostBuild[CPU]*IF(AND(HostBuild[Server Type]="pSeries",HostBuild[Virtual Platform Storage Type]="Cloud-SAN"),0.25,1))</f>
        <v>608</v>
      </c>
      <c r="FD109" s="66">
        <f>0</f>
        <v>0</v>
      </c>
      <c r="FE109" s="66">
        <f>IF(HostBuild[Server Type]="VMware",HostBuild[RAM 
(GB)]*IF(ISERROR(FIND("DevCloud", HostBuild[Server Model])&gt;0),vRAM_per_vCPU_2014_Monthly,vRAM_per_vCPU_2014_Daily*30),0)</f>
        <v>0</v>
      </c>
      <c r="FF10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0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09" s="69">
        <f>IF(HostBuild[Server Tier]="VMware",0,IF(LEFT(HostBuild[Existing Server?],3)="Yes",0,IF(OR(HostBuild[Server Type]="Sun",HostBuild[Server Type]="pSeries"),Support_Direct_Server_Sun_per_OS_2014,IF(HostBuild[Server Type]="x86",Support_Direct_Server_x86_Wintel_per_OS_2014,0))))</f>
        <v>187.1</v>
      </c>
      <c r="FI10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0" spans="1:165" hidden="1">
      <c r="A110" s="122" t="s">
        <v>53</v>
      </c>
      <c r="B110" s="36"/>
      <c r="C110" s="36"/>
      <c r="D110" s="36"/>
      <c r="E110" s="37"/>
      <c r="F110" s="37"/>
      <c r="G110" s="103"/>
      <c r="H110" s="103"/>
      <c r="I110" s="38"/>
      <c r="J110" s="37"/>
      <c r="K110" s="37"/>
      <c r="L110" s="37"/>
      <c r="M110" s="103" t="e">
        <f ca="1">IF(rngIsDate(HostBuild[CTO Acceptance]),"Y","N")</f>
        <v>#NAME?</v>
      </c>
      <c r="N110" s="123" t="s">
        <v>3</v>
      </c>
      <c r="O110" s="39"/>
      <c r="P110" s="39"/>
      <c r="Q110" s="123" t="s">
        <v>189</v>
      </c>
      <c r="R110" s="126" t="str">
        <f>IF(NOT(ISBLANK(HostBuild[Env Label])),IFERROR(VLOOKUP(HostBuild[Env Label],[1]!tEnv[#Data],3,FALSE),""),"")</f>
        <v/>
      </c>
      <c r="S110" s="104"/>
      <c r="T110" s="40"/>
      <c r="U110" s="105"/>
      <c r="V110" s="123" t="s">
        <v>17</v>
      </c>
      <c r="W110" s="123" t="s">
        <v>190</v>
      </c>
      <c r="X110" s="123" t="s">
        <v>57</v>
      </c>
      <c r="Y110" s="123" t="s">
        <v>188</v>
      </c>
      <c r="Z110" s="126" t="str">
        <f>IF(NOT(ISBLANK(HostBuild[[#This Row],[Product 
(Acronym)]])),CONCATENATE(HostBuild[[#This Row],[Type]],"-",HostBuild[[#This Row],[Product 
(Acronym)]]),"")</f>
        <v>AP-CBOL</v>
      </c>
      <c r="AA110" s="106"/>
      <c r="AB110" s="106" t="s">
        <v>76</v>
      </c>
      <c r="AC110" s="41"/>
      <c r="AD110" s="42"/>
      <c r="AE110" s="42"/>
      <c r="AF110" s="43"/>
      <c r="AG110" s="124"/>
      <c r="AH110" s="107"/>
      <c r="AI110" s="124" t="s">
        <v>22</v>
      </c>
      <c r="AJ110" s="123">
        <f>IF(COUNTIF(HostBuild[Alias],HostBuild[Alias]),1/COUNTIF(HostBuild[Alias],HostBuild[Alias]),0)</f>
        <v>1</v>
      </c>
      <c r="AK110" s="124"/>
      <c r="AL110" s="124"/>
      <c r="AM110" s="44" t="s">
        <v>62</v>
      </c>
      <c r="AN110" s="45" t="str">
        <f>IF(NOT(ISBLANK(HostBuild[Server Model])),VLOOKUP(HostBuild[Server Model],[1]!ServerModelsTier[#Data],2,FALSE),"")</f>
        <v>x86 Tier 3</v>
      </c>
      <c r="AO110" s="45" t="str">
        <f>IF(NOT(ISBLANK(HostBuild[Server Model])),VLOOKUP(HostBuild[Server Model],[1]!ServerModelsTier[#Data],5,FALSE),"")</f>
        <v>x86</v>
      </c>
      <c r="AP110" s="44"/>
      <c r="AQ110" s="44" t="s">
        <v>63</v>
      </c>
      <c r="AR110" s="46">
        <v>2</v>
      </c>
      <c r="AS110" s="108"/>
      <c r="AT110" s="47">
        <v>16</v>
      </c>
      <c r="AU110" s="109" t="str">
        <f>IF(IFERROR(FIND("P-Series",HostBuild[Server Tier]),0),CEILING((HostBuild[Existing CPUs]+HostBuild[CPU])*16,8),"")</f>
        <v/>
      </c>
      <c r="AV110" s="48">
        <v>256</v>
      </c>
      <c r="AW110" s="124"/>
      <c r="AX110" s="124"/>
      <c r="AY110" s="124"/>
      <c r="AZ110" s="49"/>
      <c r="BA110" s="124"/>
      <c r="BB110" s="124"/>
      <c r="BC110" s="42"/>
      <c r="BD110" s="124"/>
      <c r="BE110" s="124"/>
      <c r="BF110" s="124"/>
      <c r="BG110" s="124"/>
      <c r="BH110" s="124"/>
      <c r="BI110" s="124"/>
      <c r="BJ110" s="124"/>
      <c r="BK110"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10" s="127">
        <v>800</v>
      </c>
      <c r="BM110" s="129">
        <f>IF(ISNUMBER(HostBuild[Recommended SAN (GB)]),HostBuild[Recommended SAN (GB)])+IF(HostBuild[Additional SAN (GB)]&gt;0,CEILING(HostBuild[Additional SAN (GB)],LUN),-(CEILING(-HostBuild[Additional SAN (GB)],LUN)))</f>
        <v>1145.8000000000002</v>
      </c>
      <c r="BN110" s="128"/>
      <c r="BO110" s="129">
        <f>HostBuild[SAN (GB)
NEEDED TODAY]+CEILING(HostBuild[SAN (GB)
RESERVED
DO NOT USE TO BUILD], LUN)</f>
        <v>1145.8000000000002</v>
      </c>
      <c r="BP110" s="130"/>
      <c r="BQ110" s="131"/>
      <c r="BR110" s="125" t="s">
        <v>76</v>
      </c>
      <c r="BS110" s="110">
        <f>IF(HostBuild[Existing Server?]&lt;&gt;"Yes - Inside this BoM",IF(ISNUMBER(HostBuild[RAM 
(GB)]),IF(HostBuild[Existing RAM (GB)]+HostBuild[RAM 
(GB)]&gt;0,IF(HostBuild[Virtual Platform Storage Type]="NAS",110+HostBuild[Existing RAM (GB)]+HostBuild[RAM 
(GB)]*1.75,0),0),0),0)</f>
        <v>0</v>
      </c>
      <c r="BT110" s="111"/>
      <c r="BU110" s="112">
        <f>IF(ISNUMBER(HostBuild[Recommended NAS (GB)]),HostBuild[Recommended NAS (GB)])+HostBuild[Additional NAS (GB)]</f>
        <v>0</v>
      </c>
      <c r="BV110" s="50"/>
      <c r="BW110" s="50"/>
      <c r="BX110" s="133">
        <f>IFERROR((HostBuild[SAN (GB)
End-State
DO NOT USE TO BUILD]+HostBuild[SAN (GB) Shared])*25%,"")</f>
        <v>286.45000000000005</v>
      </c>
      <c r="BY110" s="113">
        <f>IFERROR(HostBuild[Archive
Full (GB)]*15%,"")</f>
        <v>42.967500000000008</v>
      </c>
      <c r="BZ110" s="51"/>
      <c r="CA110" s="51"/>
      <c r="CB110" s="52"/>
      <c r="CC110" s="53"/>
      <c r="CD110" s="52"/>
      <c r="CE110" s="54"/>
      <c r="CF110" s="128"/>
      <c r="CG110" s="114"/>
      <c r="CH110" s="55"/>
      <c r="CI110" s="56"/>
      <c r="CJ110" s="57"/>
      <c r="CK110" s="58"/>
      <c r="CL110" s="59">
        <f>IFERROR(IF(FIND(CL$1,$W110)&gt;0,IF(INDEX([1]!Product_Pricing_Table[#Data],MATCH(CL$1,Products,0),2)="Cores",IF(HostBuild[Use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0" s="59">
        <f>IFERROR(IF(FIND(CM$1,$W110)&gt;0,IF(INDEX([1]!Product_Pricing_Table[#Data],MATCH(CM$1,Products,0),2)="Cores",IF(HostBuild[Use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0" s="59">
        <f>IFERROR(IF(FIND(CN$1,$W110)&gt;0,IF(INDEX([1]!Product_Pricing_Table[#Data],MATCH(CN$1,Products,0),2)="Cores",IF(HostBuild[Use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0" s="59">
        <f>IFERROR(IF(FIND(CO$1,$W110)&gt;0,IF(INDEX([1]!Product_Pricing_Table[#Data],MATCH(CO$1,Products,0),2)="Cores",IF(HostBuild[Use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0" s="59">
        <f>IFERROR(IF(FIND(CP$1,$W110)&gt;0,IF(INDEX([1]!Product_Pricing_Table[#Data],MATCH(CP$1,Products,0),2)="Cores",IF(HostBuild[Use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0" s="59">
        <f>IFERROR(IF(FIND(CQ$1,$W110)&gt;0,IF(INDEX([1]!Product_Pricing_Table[#Data],MATCH(CQ$1,Products,0),2)="Cores",IF(HostBuild[Use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0" s="59">
        <f>IFERROR(IF(FIND(CR$1,$W110)&gt;0,IF(INDEX([1]!Product_Pricing_Table[#Data],MATCH(CR$1,Products,0),2)="Cores",IF(HostBuild[Use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0" s="59">
        <f>IFERROR(IF(FIND(CS$1,$W110)&gt;0,IF(INDEX([1]!Product_Pricing_Table[#Data],MATCH(CS$1,Products,0),2)="Cores",IF(HostBuild[Use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0" s="59">
        <f>IFERROR(IF(FIND(CT$1,$W110)&gt;0,IF(INDEX([1]!Product_Pricing_Table[#Data],MATCH(CT$1,Products,0),2)="Cores",IF(HostBuild[Use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0" s="59">
        <f>IFERROR(IF(FIND(CU$1,$W110)&gt;0,IF(INDEX([1]!Product_Pricing_Table[#Data],MATCH(CU$1,Products,0),2)="Cores",IF(HostBuild[Use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0" s="59">
        <f>IFERROR(IF(FIND(CV$1,$W110)&gt;0,IF(INDEX([1]!Product_Pricing_Table[#Data],MATCH(CV$1,Products,0),2)="Cores",IF(HostBuild[Use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0" s="59">
        <f>IFERROR(IF(FIND(CW$1,$W110)&gt;0,IF(INDEX([1]!Product_Pricing_Table[#Data],MATCH(CW$1,Products,0),2)="Cores",IF(HostBuild[Use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0" s="59">
        <f>IFERROR(IF(FIND(CX$1,$W110)&gt;0,IF(INDEX([1]!Product_Pricing_Table[#Data],MATCH(CX$1,Products,0),2)="Cores",IF(HostBuild[Use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0" s="59">
        <f>IFERROR(IF(FIND(CY$1,$W110)&gt;0,IF(INDEX([1]!Product_Pricing_Table[#Data],MATCH(CY$1,Products,0),2)="Cores",IF(HostBuild[Use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0" s="59">
        <f>IFERROR(IF(FIND(CZ$1,$W110)&gt;0,IF(INDEX([1]!Product_Pricing_Table[#Data],MATCH(CZ$1,Products,0),2)="Cores",IF(HostBuild[Use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0" s="59">
        <f>IFERROR(IF(FIND(DA$1,$W110)&gt;0,IF(INDEX([1]!Product_Pricing_Table[#Data],MATCH(DA$1,Products,0),2)="Cores",IF(HostBuild[Use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0" s="59">
        <f>IFERROR(IF(FIND(DB$1,$W110)&gt;0,IF(INDEX([1]!Product_Pricing_Table[#Data],MATCH(DB$1,Products,0),2)="Cores",IF(HostBuild[Use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0" s="59">
        <f>IFERROR(IF(FIND(DC$1,$W110)&gt;0,IF(INDEX([1]!Product_Pricing_Table[#Data],MATCH(DC$1,Products,0),2)="Cores",IF(HostBuild[Use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0" s="59">
        <f>IFERROR(IF(FIND(DD$1,$W110)&gt;0,IF(INDEX([1]!Product_Pricing_Table[#Data],MATCH(DD$1,Products,0),2)="Cores",IF(HostBuild[Use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0" s="59">
        <f>IFERROR(IF(FIND(DE$1,$W110)&gt;0,IF(INDEX([1]!Product_Pricing_Table[#Data],MATCH(DE$1,Products,0),2)="Cores",IF(HostBuild[Use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0" s="60">
        <f>IFERROR(IF(FIND(DF$1,$W110)&gt;0,IF(INDEX([1]!Product_Pricing_Table[#Data],MATCH(DF$1,Products,0),2)="Cores",IF(HostBuild[Use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0" s="60">
        <f>IFERROR(IF(FIND(DG$1,$W110)&gt;0,IF(INDEX([1]!Product_Pricing_Table[#Data],MATCH(DG$1,Products,0),2)="Cores",IF(HostBuild[Use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0" s="59">
        <f>IFERROR(IF(FIND(DH$1,$W110)&gt;0,IF(INDEX([1]!Product_Pricing_Table[#Data],MATCH(DH$1,Products,0),2)="Cores",IF(HostBuild[Use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0" s="60">
        <f>IFERROR(IF(FIND(DI$1,$W110)&gt;0,IF(INDEX([1]!Product_Pricing_Table[#Data],MATCH(DI$1,Products,0),2)="Cores",IF(HostBuild[Use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0" s="59">
        <f>IFERROR(IF(FIND(DJ$1,$W110)&gt;0,IF(INDEX([1]!Product_Pricing_Table[#Data],MATCH(DJ$1,Products,0),2)="Cores",IF(HostBuild[Use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0" s="59">
        <f>IFERROR(IF(FIND(DK$1,$W110)&gt;0,IF(INDEX([1]!Product_Pricing_Table[#Data],MATCH(DK$1,Products,0),2)="Cores",IF(HostBuild[Use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0" s="59">
        <f>IFERROR(IF(FIND(DL$1,$W110)&gt;0,IF(INDEX([1]!Product_Pricing_Table[#Data],MATCH(DL$1,Products,0),2)="Cores",IF(HostBuild[Use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0" s="59">
        <f>IFERROR(IF(FIND(DM$1,$W110)&gt;0,IF(INDEX([1]!Product_Pricing_Table[#Data],MATCH(DM$1,Products,0),2)="Cores",IF(HostBuild[Use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0" s="59">
        <f>IFERROR(IF(FIND(DN$1,$W110)&gt;0,IF(INDEX([1]!Product_Pricing_Table[#Data],MATCH(DN$1,Products,0),2)="Cores",IF(HostBuild[Use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0" s="59">
        <f>IFERROR(IF(FIND(DO$1,$W110)&gt;0,IF(INDEX([1]!Product_Pricing_Table[#Data],MATCH(DO$1,Products,0),2)="Cores",IF(HostBuild[Use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0" s="59">
        <f>IFERROR(IF(FIND(DP$1,$W110)&gt;0,IF(INDEX([1]!Product_Pricing_Table[#Data],MATCH(DP$1,Products,0),2)="Cores",IF(HostBuild[Use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0" s="59">
        <f>IFERROR(IF(FIND(DQ$1,$W110)&gt;0,IF(INDEX([1]!Product_Pricing_Table[#Data],MATCH(DQ$1,Products,0),2)="Cores",IF(HostBuild[Use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0" s="59">
        <f>IFERROR(IF(FIND(DR$1,$W110)&gt;0,IF(INDEX([1]!Product_Pricing_Table[#Data],MATCH(DR$1,Products,0),2)="Cores",IF(HostBuild[Use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0" s="59">
        <f>IFERROR(IF(FIND(DS$1,$W110)&gt;0,IF(INDEX([1]!Product_Pricing_Table[#Data],MATCH(DS$1,Products,0),2)="Cores",IF(HostBuild[Use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0" s="59">
        <f>IFERROR(IF(FIND(DT$1,$W110)&gt;0,IF(INDEX([1]!Product_Pricing_Table[#Data],MATCH(DT$1,Products,0),2)="Cores",IF(HostBuild[Use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0" s="59">
        <f>IFERROR(IF(FIND(DU$1,$W110)&gt;0,IF(INDEX([1]!Product_Pricing_Table[#Data],MATCH(DU$1,Products,0),2)="Cores",IF(HostBuild[Use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0" s="59">
        <f>IFERROR(IF(FIND(DV$1,$W110)&gt;0,IF(INDEX([1]!Product_Pricing_Table[#Data],MATCH(DV$1,Products,0),2)="Cores",IF(HostBuild[Use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10" s="59">
        <f>IFERROR(IF(FIND(DW$1,$W110)&gt;0,IF(INDEX([1]!Product_Pricing_Table[#Data],MATCH(DW$1,Products,0),2)="Cores",IF(HostBuild[Use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0" s="59">
        <f>IFERROR(IF(FIND(DX$1,$W110)&gt;0,IF(INDEX([1]!Product_Pricing_Table[#Data],MATCH(DX$1,Products,0),2)="Cores",IF(HostBuild[Use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0" s="59">
        <f>IFERROR(IF(FIND(DY$1,$W110)&gt;0,IF(INDEX([1]!Product_Pricing_Table[#Data],MATCH(DY$1,Products,0),2)="Cores",IF(HostBuild[Use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0" s="59">
        <f>IFERROR(IF(FIND(DZ$1,$W110)&gt;0,IF(INDEX([1]!Product_Pricing_Table[#Data],MATCH(DZ$1,Products,0),2)="Cores",IF(HostBuild[Use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0" s="59">
        <f>IFERROR(IF(FIND(EA$1,$W110)&gt;0,IF(INDEX([1]!Product_Pricing_Table[#Data],MATCH(EA$1,Products,0),2)="Cores",IF(HostBuild[Use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0" s="59">
        <f>IFERROR(IF(FIND(EB$1,$W110)&gt;0,IF(INDEX([1]!Product_Pricing_Table[#Data],MATCH(EB$1,Products,0),2)="Cores",IF(HostBuild[Use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0" s="60">
        <f>IFERROR(IF(FIND(EC$1,$W110)&gt;0,IF(INDEX([1]!Product_Pricing_Table[#Data],MATCH(EC$1,Products,0),2)="Cores",IF(HostBuild[Use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0" s="59">
        <f>IFERROR(IF(FIND(ED$1,$W110)&gt;0,IF(INDEX([1]!Product_Pricing_Table[#Data],MATCH(ED$1,Products,0),2)="Cores",IF(HostBuild[Use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0" s="59">
        <f>IFERROR(IF(FIND(EE$1,$W110)&gt;0,IF(INDEX([1]!Product_Pricing_Table[#Data],MATCH(EE$1,Products,0),2)="Cores",IF(HostBuild[Use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0" s="59">
        <f>IFERROR(IF(FIND(EF$1,$W110)&gt;0,IF(INDEX([1]!Product_Pricing_Table[#Data],MATCH(EF$1,Products,0),2)="Cores",IF(HostBuild[Use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0" s="59">
        <f>IFERROR(IF(FIND(EG$1,$W110)&gt;0,IF(INDEX([1]!Product_Pricing_Table[#Data],MATCH(EG$1,Products,0),2)="Cores",IF(HostBuild[Use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0" s="59">
        <f>IFERROR(IF(FIND(EH$1,$W110)&gt;0,IF(INDEX([1]!Product_Pricing_Table[#Data],MATCH(EH$1,Products,0),2)="Cores",IF(HostBuild[Use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0" s="59">
        <f>IFERROR(IF(FIND(EI$1,$W110)&gt;0,IF(INDEX([1]!Product_Pricing_Table[#Data],MATCH(EI$1,Products,0),2)="Cores",IF(HostBuild[Use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0" s="59">
        <f>IFERROR(IF(FIND(EJ$1,$W110)&gt;0,IF(INDEX([1]!Product_Pricing_Table[#Data],MATCH(EJ$1,Products,0),2)="Cores",IF(HostBuild[Use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0" s="60">
        <f>IFERROR(IF(FIND(EK$1,$W110)&gt;0,IF(INDEX([1]!Product_Pricing_Table[#Data],MATCH(EK$1,Products,0),2)="Cores",IF(HostBuild[Use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0" s="61"/>
      <c r="EM110" s="62"/>
      <c r="EN110" s="63"/>
      <c r="EO110"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1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515.61000000000013</v>
      </c>
      <c r="EQ110" s="132">
        <f>(HostBuild[Archive
Full (GB)]+HostBuild[Archive
Incr (GB)])*Storage_DC_Dist_Tape_2014</f>
        <v>115.29612500000002</v>
      </c>
      <c r="ER110" s="132">
        <f>IF(ISNUMBER(HostBuild[Server HW Costs
(Monthly)]),SUM(HostBuild[[#This Row],[Server HW Costs
(Monthly)]:[Tape Costs
(Monthly)]]),0)</f>
        <v>1634.8061250000003</v>
      </c>
      <c r="ES110" s="65">
        <f>HostBuild[Software Costs
'[Year 1']
(Monthly)]+HostBuild[Total Hardware Costs
(Monthly)]</f>
        <v>1634.8061250000003</v>
      </c>
      <c r="ET110" s="65">
        <f>IFERROR(IF(FIND("Safenet",HostBuild[Server Model]),Safenet_PSE_PL600_Maint,0),0)+IFERROR(IF(FIND("XI52",HostBuild[Server Model]),IBM_DIA_XI52_Maint,0),0)+HostBuild[Software Costs
'[After Year 1']
(Monthly)]+HostBuild[Total Hardware Costs
(Monthly)]</f>
        <v>1634.8061250000003</v>
      </c>
      <c r="EU110" s="66">
        <f>SUM(HostBuild[[#This Row],[Server Cost Breakdown]:[Network Cost]])</f>
        <v>1003.9</v>
      </c>
      <c r="EV110" s="67">
        <f>IF(HostBuild[Existing Server?]="Yes - Inside this BoM",0,SUMIF(HostBuild[Alias],HostBuild[Alias],HostBuild[CPU])+SUMIF(HostBuild[Alias],HostBuild[Alias],HostBuild[Existing CPUs]))</f>
        <v>2</v>
      </c>
      <c r="EW110" s="67">
        <f>IF(HostBuild[Existing Server?]="Yes - Inside this BoM",0,SUMIF(HostBuild[Alias],HostBuild[Alias],HostBuild[Cores 
(Licensed Units)])+SUMIF(HostBuild[Alias],HostBuild[Alias],HostBuild[Existing Cores]))</f>
        <v>16</v>
      </c>
      <c r="EX110" s="67">
        <f>IF(HostBuild[Existing Server?]="Yes - Inside this BoM",0,SUMIF(HostBuild[Alias],HostBuild[Alias],HostBuild[RAM 
(GB)])+SUMIF(HostBuild[Alias],HostBuild[Alias],HostBuild[Existing RAM (GB)]))</f>
        <v>256</v>
      </c>
      <c r="EY11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0" s="66">
        <f>IF(ISBLANK(HostBuild[Server Model]),0,IF(HostBuild[Server Tier]="VMware",0,VLOOKUP(HostBuild[Server Tier],[1]!ServerTierRates[#Data],2,0))*HostBuild[CPU]*IF(AND(HostBuild[Server Type]="pSeries",HostBuild[Virtual Platform Storage Type]="Cloud-SAN"),0.25,1))</f>
        <v>608</v>
      </c>
      <c r="FD110" s="66">
        <f>0</f>
        <v>0</v>
      </c>
      <c r="FE110" s="66">
        <f>IF(HostBuild[Server Type]="VMware",HostBuild[RAM 
(GB)]*IF(ISERROR(FIND("DevCloud", HostBuild[Server Model])&gt;0),vRAM_per_vCPU_2014_Monthly,vRAM_per_vCPU_2014_Daily*30),0)</f>
        <v>0</v>
      </c>
      <c r="FF11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1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0" s="69">
        <f>IF(HostBuild[Server Tier]="VMware",0,IF(LEFT(HostBuild[Existing Server?],3)="Yes",0,IF(OR(HostBuild[Server Type]="Sun",HostBuild[Server Type]="pSeries"),Support_Direct_Server_Sun_per_OS_2014,IF(HostBuild[Server Type]="x86",Support_Direct_Server_x86_Wintel_per_OS_2014,0))))</f>
        <v>187.1</v>
      </c>
      <c r="FI11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1" spans="1:165" hidden="1">
      <c r="A111" s="122" t="s">
        <v>53</v>
      </c>
      <c r="B111" s="36"/>
      <c r="C111" s="36"/>
      <c r="D111" s="36"/>
      <c r="E111" s="37"/>
      <c r="F111" s="37"/>
      <c r="G111" s="103"/>
      <c r="H111" s="103"/>
      <c r="I111" s="38"/>
      <c r="J111" s="37"/>
      <c r="K111" s="37"/>
      <c r="L111" s="37"/>
      <c r="M111" s="103" t="e">
        <f ca="1">IF(rngIsDate(HostBuild[CTO Acceptance]),"Y","N")</f>
        <v>#NAME?</v>
      </c>
      <c r="N111" s="123" t="s">
        <v>3</v>
      </c>
      <c r="O111" s="39"/>
      <c r="P111" s="39"/>
      <c r="Q111" s="123" t="s">
        <v>189</v>
      </c>
      <c r="R111" s="126" t="str">
        <f>IF(NOT(ISBLANK(HostBuild[Env Label])),IFERROR(VLOOKUP(HostBuild[Env Label],[1]!tEnv[#Data],3,FALSE),""),"")</f>
        <v/>
      </c>
      <c r="S111" s="104"/>
      <c r="T111" s="40"/>
      <c r="U111" s="105"/>
      <c r="V111" s="123" t="s">
        <v>17</v>
      </c>
      <c r="W111" s="123" t="s">
        <v>190</v>
      </c>
      <c r="X111" s="123" t="s">
        <v>57</v>
      </c>
      <c r="Y111" s="123" t="s">
        <v>188</v>
      </c>
      <c r="Z111" s="126" t="str">
        <f>IF(NOT(ISBLANK(HostBuild[[#This Row],[Product 
(Acronym)]])),CONCATENATE(HostBuild[[#This Row],[Type]],"-",HostBuild[[#This Row],[Product 
(Acronym)]]),"")</f>
        <v>AP-CBOL</v>
      </c>
      <c r="AA111" s="106"/>
      <c r="AB111" s="106" t="s">
        <v>76</v>
      </c>
      <c r="AC111" s="41"/>
      <c r="AD111" s="42"/>
      <c r="AE111" s="42"/>
      <c r="AF111" s="43"/>
      <c r="AG111" s="124"/>
      <c r="AH111" s="107"/>
      <c r="AI111" s="124" t="s">
        <v>23</v>
      </c>
      <c r="AJ111" s="123">
        <f>IF(COUNTIF(HostBuild[Alias],HostBuild[Alias]),1/COUNTIF(HostBuild[Alias],HostBuild[Alias]),0)</f>
        <v>1</v>
      </c>
      <c r="AK111" s="124"/>
      <c r="AL111" s="124"/>
      <c r="AM111" s="44" t="s">
        <v>62</v>
      </c>
      <c r="AN111" s="45" t="str">
        <f>IF(NOT(ISBLANK(HostBuild[Server Model])),VLOOKUP(HostBuild[Server Model],[1]!ServerModelsTier[#Data],2,FALSE),"")</f>
        <v>x86 Tier 3</v>
      </c>
      <c r="AO111" s="45" t="str">
        <f>IF(NOT(ISBLANK(HostBuild[Server Model])),VLOOKUP(HostBuild[Server Model],[1]!ServerModelsTier[#Data],5,FALSE),"")</f>
        <v>x86</v>
      </c>
      <c r="AP111" s="44"/>
      <c r="AQ111" s="44" t="s">
        <v>63</v>
      </c>
      <c r="AR111" s="46">
        <v>2</v>
      </c>
      <c r="AS111" s="108"/>
      <c r="AT111" s="47">
        <v>16</v>
      </c>
      <c r="AU111" s="109" t="str">
        <f>IF(IFERROR(FIND("P-Series",HostBuild[Server Tier]),0),CEILING((HostBuild[Existing CPUs]+HostBuild[CPU])*16,8),"")</f>
        <v/>
      </c>
      <c r="AV111" s="48">
        <v>256</v>
      </c>
      <c r="AW111" s="124"/>
      <c r="AX111" s="124"/>
      <c r="AY111" s="124"/>
      <c r="AZ111" s="49"/>
      <c r="BA111" s="124"/>
      <c r="BB111" s="124"/>
      <c r="BC111" s="42"/>
      <c r="BD111" s="124"/>
      <c r="BE111" s="124"/>
      <c r="BF111" s="124"/>
      <c r="BG111" s="124"/>
      <c r="BH111" s="124"/>
      <c r="BI111" s="124"/>
      <c r="BJ111" s="124"/>
      <c r="BK111" s="133">
        <f>IF(HostBuild[Existing Server?]&lt;&gt;"Yes - Inside this BoM",IF(ISNUMBER(HostBuild[RAM 
(GB)]),IF(HostBuild[Existing RAM (GB)]+HostBuild[RAM 
(GB)]&gt;0,IF(OR(HostBuild[Server Type]="x86",IFERROR(FIND("SAN", HostBuild[Virtual Platform Storage Type]),FALSE)),CEILING(2*LUN+(HostBuild[Existing RAM (GB)]+HostBuild[RAM 
(GB)]),LUN),0),0),0),0)</f>
        <v>337</v>
      </c>
      <c r="BL111" s="127">
        <v>800</v>
      </c>
      <c r="BM111" s="129">
        <f>IF(ISNUMBER(HostBuild[Recommended SAN (GB)]),HostBuild[Recommended SAN (GB)])+IF(HostBuild[Additional SAN (GB)]&gt;0,CEILING(HostBuild[Additional SAN (GB)],LUN),-(CEILING(-HostBuild[Additional SAN (GB)],LUN)))</f>
        <v>1145.8000000000002</v>
      </c>
      <c r="BN111" s="128"/>
      <c r="BO111" s="129">
        <f>HostBuild[SAN (GB)
NEEDED TODAY]+CEILING(HostBuild[SAN (GB)
RESERVED
DO NOT USE TO BUILD], LUN)</f>
        <v>1145.8000000000002</v>
      </c>
      <c r="BP111" s="130"/>
      <c r="BQ111" s="131"/>
      <c r="BR111" s="125" t="s">
        <v>76</v>
      </c>
      <c r="BS111" s="110">
        <f>IF(HostBuild[Existing Server?]&lt;&gt;"Yes - Inside this BoM",IF(ISNUMBER(HostBuild[RAM 
(GB)]),IF(HostBuild[Existing RAM (GB)]+HostBuild[RAM 
(GB)]&gt;0,IF(HostBuild[Virtual Platform Storage Type]="NAS",110+HostBuild[Existing RAM (GB)]+HostBuild[RAM 
(GB)]*1.75,0),0),0),0)</f>
        <v>0</v>
      </c>
      <c r="BT111" s="111"/>
      <c r="BU111" s="112">
        <f>IF(ISNUMBER(HostBuild[Recommended NAS (GB)]),HostBuild[Recommended NAS (GB)])+HostBuild[Additional NAS (GB)]</f>
        <v>0</v>
      </c>
      <c r="BV111" s="50"/>
      <c r="BW111" s="50"/>
      <c r="BX111" s="133">
        <f>IFERROR((HostBuild[SAN (GB)
End-State
DO NOT USE TO BUILD]+HostBuild[SAN (GB) Shared])*25%,"")</f>
        <v>286.45000000000005</v>
      </c>
      <c r="BY111" s="113">
        <f>IFERROR(HostBuild[Archive
Full (GB)]*15%,"")</f>
        <v>42.967500000000008</v>
      </c>
      <c r="BZ111" s="51"/>
      <c r="CA111" s="51"/>
      <c r="CB111" s="52"/>
      <c r="CC111" s="53"/>
      <c r="CD111" s="52"/>
      <c r="CE111" s="54"/>
      <c r="CF111" s="128"/>
      <c r="CG111" s="114"/>
      <c r="CH111" s="55"/>
      <c r="CI111" s="56"/>
      <c r="CJ111" s="57"/>
      <c r="CK111" s="58"/>
      <c r="CL111" s="59">
        <f>IFERROR(IF(FIND(CL$1,$W111)&gt;0,IF(INDEX([1]!Product_Pricing_Table[#Data],MATCH(CL$1,Products,0),2)="Cores",IF(HostBuild[Use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1" s="59">
        <f>IFERROR(IF(FIND(CM$1,$W111)&gt;0,IF(INDEX([1]!Product_Pricing_Table[#Data],MATCH(CM$1,Products,0),2)="Cores",IF(HostBuild[Use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1" s="59">
        <f>IFERROR(IF(FIND(CN$1,$W111)&gt;0,IF(INDEX([1]!Product_Pricing_Table[#Data],MATCH(CN$1,Products,0),2)="Cores",IF(HostBuild[Use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1" s="59">
        <f>IFERROR(IF(FIND(CO$1,$W111)&gt;0,IF(INDEX([1]!Product_Pricing_Table[#Data],MATCH(CO$1,Products,0),2)="Cores",IF(HostBuild[Use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1" s="59">
        <f>IFERROR(IF(FIND(CP$1,$W111)&gt;0,IF(INDEX([1]!Product_Pricing_Table[#Data],MATCH(CP$1,Products,0),2)="Cores",IF(HostBuild[Use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1" s="59">
        <f>IFERROR(IF(FIND(CQ$1,$W111)&gt;0,IF(INDEX([1]!Product_Pricing_Table[#Data],MATCH(CQ$1,Products,0),2)="Cores",IF(HostBuild[Use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1" s="59">
        <f>IFERROR(IF(FIND(CR$1,$W111)&gt;0,IF(INDEX([1]!Product_Pricing_Table[#Data],MATCH(CR$1,Products,0),2)="Cores",IF(HostBuild[Use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1" s="59">
        <f>IFERROR(IF(FIND(CS$1,$W111)&gt;0,IF(INDEX([1]!Product_Pricing_Table[#Data],MATCH(CS$1,Products,0),2)="Cores",IF(HostBuild[Use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1" s="59">
        <f>IFERROR(IF(FIND(CT$1,$W111)&gt;0,IF(INDEX([1]!Product_Pricing_Table[#Data],MATCH(CT$1,Products,0),2)="Cores",IF(HostBuild[Use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1" s="59">
        <f>IFERROR(IF(FIND(CU$1,$W111)&gt;0,IF(INDEX([1]!Product_Pricing_Table[#Data],MATCH(CU$1,Products,0),2)="Cores",IF(HostBuild[Use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1" s="59">
        <f>IFERROR(IF(FIND(CV$1,$W111)&gt;0,IF(INDEX([1]!Product_Pricing_Table[#Data],MATCH(CV$1,Products,0),2)="Cores",IF(HostBuild[Use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1" s="59">
        <f>IFERROR(IF(FIND(CW$1,$W111)&gt;0,IF(INDEX([1]!Product_Pricing_Table[#Data],MATCH(CW$1,Products,0),2)="Cores",IF(HostBuild[Use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1" s="59">
        <f>IFERROR(IF(FIND(CX$1,$W111)&gt;0,IF(INDEX([1]!Product_Pricing_Table[#Data],MATCH(CX$1,Products,0),2)="Cores",IF(HostBuild[Use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1" s="59">
        <f>IFERROR(IF(FIND(CY$1,$W111)&gt;0,IF(INDEX([1]!Product_Pricing_Table[#Data],MATCH(CY$1,Products,0),2)="Cores",IF(HostBuild[Use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1" s="59">
        <f>IFERROR(IF(FIND(CZ$1,$W111)&gt;0,IF(INDEX([1]!Product_Pricing_Table[#Data],MATCH(CZ$1,Products,0),2)="Cores",IF(HostBuild[Use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1" s="59">
        <f>IFERROR(IF(FIND(DA$1,$W111)&gt;0,IF(INDEX([1]!Product_Pricing_Table[#Data],MATCH(DA$1,Products,0),2)="Cores",IF(HostBuild[Use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1" s="59">
        <f>IFERROR(IF(FIND(DB$1,$W111)&gt;0,IF(INDEX([1]!Product_Pricing_Table[#Data],MATCH(DB$1,Products,0),2)="Cores",IF(HostBuild[Use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1" s="59">
        <f>IFERROR(IF(FIND(DC$1,$W111)&gt;0,IF(INDEX([1]!Product_Pricing_Table[#Data],MATCH(DC$1,Products,0),2)="Cores",IF(HostBuild[Use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1" s="59">
        <f>IFERROR(IF(FIND(DD$1,$W111)&gt;0,IF(INDEX([1]!Product_Pricing_Table[#Data],MATCH(DD$1,Products,0),2)="Cores",IF(HostBuild[Use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1" s="59">
        <f>IFERROR(IF(FIND(DE$1,$W111)&gt;0,IF(INDEX([1]!Product_Pricing_Table[#Data],MATCH(DE$1,Products,0),2)="Cores",IF(HostBuild[Use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1" s="60">
        <f>IFERROR(IF(FIND(DF$1,$W111)&gt;0,IF(INDEX([1]!Product_Pricing_Table[#Data],MATCH(DF$1,Products,0),2)="Cores",IF(HostBuild[Use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1" s="60">
        <f>IFERROR(IF(FIND(DG$1,$W111)&gt;0,IF(INDEX([1]!Product_Pricing_Table[#Data],MATCH(DG$1,Products,0),2)="Cores",IF(HostBuild[Use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1" s="59">
        <f>IFERROR(IF(FIND(DH$1,$W111)&gt;0,IF(INDEX([1]!Product_Pricing_Table[#Data],MATCH(DH$1,Products,0),2)="Cores",IF(HostBuild[Use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1" s="60">
        <f>IFERROR(IF(FIND(DI$1,$W111)&gt;0,IF(INDEX([1]!Product_Pricing_Table[#Data],MATCH(DI$1,Products,0),2)="Cores",IF(HostBuild[Use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1" s="59">
        <f>IFERROR(IF(FIND(DJ$1,$W111)&gt;0,IF(INDEX([1]!Product_Pricing_Table[#Data],MATCH(DJ$1,Products,0),2)="Cores",IF(HostBuild[Use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1" s="59">
        <f>IFERROR(IF(FIND(DK$1,$W111)&gt;0,IF(INDEX([1]!Product_Pricing_Table[#Data],MATCH(DK$1,Products,0),2)="Cores",IF(HostBuild[Use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1" s="59">
        <f>IFERROR(IF(FIND(DL$1,$W111)&gt;0,IF(INDEX([1]!Product_Pricing_Table[#Data],MATCH(DL$1,Products,0),2)="Cores",IF(HostBuild[Use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1" s="59">
        <f>IFERROR(IF(FIND(DM$1,$W111)&gt;0,IF(INDEX([1]!Product_Pricing_Table[#Data],MATCH(DM$1,Products,0),2)="Cores",IF(HostBuild[Use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1" s="59">
        <f>IFERROR(IF(FIND(DN$1,$W111)&gt;0,IF(INDEX([1]!Product_Pricing_Table[#Data],MATCH(DN$1,Products,0),2)="Cores",IF(HostBuild[Use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1" s="59">
        <f>IFERROR(IF(FIND(DO$1,$W111)&gt;0,IF(INDEX([1]!Product_Pricing_Table[#Data],MATCH(DO$1,Products,0),2)="Cores",IF(HostBuild[Use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1" s="59">
        <f>IFERROR(IF(FIND(DP$1,$W111)&gt;0,IF(INDEX([1]!Product_Pricing_Table[#Data],MATCH(DP$1,Products,0),2)="Cores",IF(HostBuild[Use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1" s="59">
        <f>IFERROR(IF(FIND(DQ$1,$W111)&gt;0,IF(INDEX([1]!Product_Pricing_Table[#Data],MATCH(DQ$1,Products,0),2)="Cores",IF(HostBuild[Use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1" s="59">
        <f>IFERROR(IF(FIND(DR$1,$W111)&gt;0,IF(INDEX([1]!Product_Pricing_Table[#Data],MATCH(DR$1,Products,0),2)="Cores",IF(HostBuild[Use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1" s="59">
        <f>IFERROR(IF(FIND(DS$1,$W111)&gt;0,IF(INDEX([1]!Product_Pricing_Table[#Data],MATCH(DS$1,Products,0),2)="Cores",IF(HostBuild[Use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1" s="59">
        <f>IFERROR(IF(FIND(DT$1,$W111)&gt;0,IF(INDEX([1]!Product_Pricing_Table[#Data],MATCH(DT$1,Products,0),2)="Cores",IF(HostBuild[Use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1" s="59">
        <f>IFERROR(IF(FIND(DU$1,$W111)&gt;0,IF(INDEX([1]!Product_Pricing_Table[#Data],MATCH(DU$1,Products,0),2)="Cores",IF(HostBuild[Use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1" s="59">
        <f>IFERROR(IF(FIND(DV$1,$W111)&gt;0,IF(INDEX([1]!Product_Pricing_Table[#Data],MATCH(DV$1,Products,0),2)="Cores",IF(HostBuild[Use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11" s="59">
        <f>IFERROR(IF(FIND(DW$1,$W111)&gt;0,IF(INDEX([1]!Product_Pricing_Table[#Data],MATCH(DW$1,Products,0),2)="Cores",IF(HostBuild[Use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1" s="59">
        <f>IFERROR(IF(FIND(DX$1,$W111)&gt;0,IF(INDEX([1]!Product_Pricing_Table[#Data],MATCH(DX$1,Products,0),2)="Cores",IF(HostBuild[Use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1" s="59">
        <f>IFERROR(IF(FIND(DY$1,$W111)&gt;0,IF(INDEX([1]!Product_Pricing_Table[#Data],MATCH(DY$1,Products,0),2)="Cores",IF(HostBuild[Use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1" s="59">
        <f>IFERROR(IF(FIND(DZ$1,$W111)&gt;0,IF(INDEX([1]!Product_Pricing_Table[#Data],MATCH(DZ$1,Products,0),2)="Cores",IF(HostBuild[Use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1" s="59">
        <f>IFERROR(IF(FIND(EA$1,$W111)&gt;0,IF(INDEX([1]!Product_Pricing_Table[#Data],MATCH(EA$1,Products,0),2)="Cores",IF(HostBuild[Use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1" s="59">
        <f>IFERROR(IF(FIND(EB$1,$W111)&gt;0,IF(INDEX([1]!Product_Pricing_Table[#Data],MATCH(EB$1,Products,0),2)="Cores",IF(HostBuild[Use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1" s="60">
        <f>IFERROR(IF(FIND(EC$1,$W111)&gt;0,IF(INDEX([1]!Product_Pricing_Table[#Data],MATCH(EC$1,Products,0),2)="Cores",IF(HostBuild[Use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1" s="59">
        <f>IFERROR(IF(FIND(ED$1,$W111)&gt;0,IF(INDEX([1]!Product_Pricing_Table[#Data],MATCH(ED$1,Products,0),2)="Cores",IF(HostBuild[Use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1" s="59">
        <f>IFERROR(IF(FIND(EE$1,$W111)&gt;0,IF(INDEX([1]!Product_Pricing_Table[#Data],MATCH(EE$1,Products,0),2)="Cores",IF(HostBuild[Use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1" s="59">
        <f>IFERROR(IF(FIND(EF$1,$W111)&gt;0,IF(INDEX([1]!Product_Pricing_Table[#Data],MATCH(EF$1,Products,0),2)="Cores",IF(HostBuild[Use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1" s="59">
        <f>IFERROR(IF(FIND(EG$1,$W111)&gt;0,IF(INDEX([1]!Product_Pricing_Table[#Data],MATCH(EG$1,Products,0),2)="Cores",IF(HostBuild[Use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1" s="59">
        <f>IFERROR(IF(FIND(EH$1,$W111)&gt;0,IF(INDEX([1]!Product_Pricing_Table[#Data],MATCH(EH$1,Products,0),2)="Cores",IF(HostBuild[Use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1" s="59">
        <f>IFERROR(IF(FIND(EI$1,$W111)&gt;0,IF(INDEX([1]!Product_Pricing_Table[#Data],MATCH(EI$1,Products,0),2)="Cores",IF(HostBuild[Use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1" s="59">
        <f>IFERROR(IF(FIND(EJ$1,$W111)&gt;0,IF(INDEX([1]!Product_Pricing_Table[#Data],MATCH(EJ$1,Products,0),2)="Cores",IF(HostBuild[Use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1" s="60">
        <f>IFERROR(IF(FIND(EK$1,$W111)&gt;0,IF(INDEX([1]!Product_Pricing_Table[#Data],MATCH(EK$1,Products,0),2)="Cores",IF(HostBuild[Use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1" s="61"/>
      <c r="EM111" s="62"/>
      <c r="EN111" s="63"/>
      <c r="EO111" s="64">
        <f>IF(OR(ISBLANK(HostBuild[Alias]),HostBuild[Server Tier]="",),0,IF(HostBuild[Server Tier]="SafeNet",Safenet_PSE_PL600+HostBuild[Network Cost],IF(HostBuild[Server Tier]="VMware",HostBuild[New VMware (Adjusted)]+HostBuild[Initial Server Cost],IF(HostBuild[Server Tier]="XI52",IBM_DIA_XI52,HostBuild[Initial Server Cost]))))</f>
        <v>1003.9</v>
      </c>
      <c r="EP11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515.61000000000013</v>
      </c>
      <c r="EQ111" s="132">
        <f>(HostBuild[Archive
Full (GB)]+HostBuild[Archive
Incr (GB)])*Storage_DC_Dist_Tape_2014</f>
        <v>115.29612500000002</v>
      </c>
      <c r="ER111" s="132">
        <f>IF(ISNUMBER(HostBuild[Server HW Costs
(Monthly)]),SUM(HostBuild[[#This Row],[Server HW Costs
(Monthly)]:[Tape Costs
(Monthly)]]),0)</f>
        <v>1634.8061250000003</v>
      </c>
      <c r="ES111" s="65">
        <f>HostBuild[Software Costs
'[Year 1']
(Monthly)]+HostBuild[Total Hardware Costs
(Monthly)]</f>
        <v>1634.8061250000003</v>
      </c>
      <c r="ET111" s="65">
        <f>IFERROR(IF(FIND("Safenet",HostBuild[Server Model]),Safenet_PSE_PL600_Maint,0),0)+IFERROR(IF(FIND("XI52",HostBuild[Server Model]),IBM_DIA_XI52_Maint,0),0)+HostBuild[Software Costs
'[After Year 1']
(Monthly)]+HostBuild[Total Hardware Costs
(Monthly)]</f>
        <v>1634.8061250000003</v>
      </c>
      <c r="EU111" s="66">
        <f>SUM(HostBuild[[#This Row],[Server Cost Breakdown]:[Network Cost]])</f>
        <v>1003.9</v>
      </c>
      <c r="EV111" s="67">
        <f>IF(HostBuild[Existing Server?]="Yes - Inside this BoM",0,SUMIF(HostBuild[Alias],HostBuild[Alias],HostBuild[CPU])+SUMIF(HostBuild[Alias],HostBuild[Alias],HostBuild[Existing CPUs]))</f>
        <v>2</v>
      </c>
      <c r="EW111" s="67">
        <f>IF(HostBuild[Existing Server?]="Yes - Inside this BoM",0,SUMIF(HostBuild[Alias],HostBuild[Alias],HostBuild[Cores 
(Licensed Units)])+SUMIF(HostBuild[Alias],HostBuild[Alias],HostBuild[Existing Cores]))</f>
        <v>16</v>
      </c>
      <c r="EX111" s="67">
        <f>IF(HostBuild[Existing Server?]="Yes - Inside this BoM",0,SUMIF(HostBuild[Alias],HostBuild[Alias],HostBuild[RAM 
(GB)])+SUMIF(HostBuild[Alias],HostBuild[Alias],HostBuild[Existing RAM (GB)]))</f>
        <v>256</v>
      </c>
      <c r="EY11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1" s="66">
        <f>IF(ISBLANK(HostBuild[Server Model]),0,IF(HostBuild[Server Tier]="VMware",0,VLOOKUP(HostBuild[Server Tier],[1]!ServerTierRates[#Data],2,0))*HostBuild[CPU]*IF(AND(HostBuild[Server Type]="pSeries",HostBuild[Virtual Platform Storage Type]="Cloud-SAN"),0.25,1))</f>
        <v>608</v>
      </c>
      <c r="FD111" s="66">
        <f>0</f>
        <v>0</v>
      </c>
      <c r="FE111" s="66">
        <f>IF(HostBuild[Server Type]="VMware",HostBuild[RAM 
(GB)]*IF(ISERROR(FIND("DevCloud", HostBuild[Server Model])&gt;0),vRAM_per_vCPU_2014_Monthly,vRAM_per_vCPU_2014_Daily*30),0)</f>
        <v>0</v>
      </c>
      <c r="FF11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208.8</v>
      </c>
      <c r="FG11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1" s="69">
        <f>IF(HostBuild[Server Tier]="VMware",0,IF(LEFT(HostBuild[Existing Server?],3)="Yes",0,IF(OR(HostBuild[Server Type]="Sun",HostBuild[Server Type]="pSeries"),Support_Direct_Server_Sun_per_OS_2014,IF(HostBuild[Server Type]="x86",Support_Direct_Server_x86_Wintel_per_OS_2014,0))))</f>
        <v>187.1</v>
      </c>
      <c r="FI11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2" spans="1:165" hidden="1">
      <c r="A112" s="122" t="s">
        <v>53</v>
      </c>
      <c r="B112" s="36"/>
      <c r="C112" s="36"/>
      <c r="D112" s="36"/>
      <c r="E112" s="37"/>
      <c r="F112" s="37"/>
      <c r="G112" s="103"/>
      <c r="H112" s="103"/>
      <c r="I112" s="38"/>
      <c r="J112" s="37"/>
      <c r="K112" s="37"/>
      <c r="L112" s="37"/>
      <c r="M112" s="103" t="e">
        <f ca="1">IF(rngIsDate(HostBuild[CTO Acceptance]),"Y","N")</f>
        <v>#NAME?</v>
      </c>
      <c r="N112" s="123" t="s">
        <v>4</v>
      </c>
      <c r="O112" s="39"/>
      <c r="P112" s="39"/>
      <c r="Q112" s="123" t="s">
        <v>0</v>
      </c>
      <c r="R112" s="126" t="str">
        <f>IF(NOT(ISBLANK(HostBuild[Env Label])),IFERROR(VLOOKUP(HostBuild[Env Label],[1]!tEnv[#Data],3,FALSE),""),"")</f>
        <v/>
      </c>
      <c r="S112" s="104"/>
      <c r="T112" s="40"/>
      <c r="U112" s="105"/>
      <c r="V112" s="123" t="s">
        <v>24</v>
      </c>
      <c r="W112" s="123" t="s">
        <v>191</v>
      </c>
      <c r="X112" s="123" t="s">
        <v>99</v>
      </c>
      <c r="Y112" s="123" t="s">
        <v>188</v>
      </c>
      <c r="Z112" s="126" t="str">
        <f>IF(NOT(ISBLANK(HostBuild[[#This Row],[Product 
(Acronym)]])),CONCATENATE(HostBuild[[#This Row],[Type]],"-",HostBuild[[#This Row],[Product 
(Acronym)]]),"")</f>
        <v>DB-CBOL</v>
      </c>
      <c r="AA112" s="106"/>
      <c r="AB112" s="106" t="s">
        <v>76</v>
      </c>
      <c r="AC112" s="41"/>
      <c r="AD112" s="42"/>
      <c r="AE112" s="42"/>
      <c r="AF112" s="43"/>
      <c r="AG112" s="124"/>
      <c r="AH112" s="107"/>
      <c r="AI112" s="124" t="s">
        <v>25</v>
      </c>
      <c r="AJ112" s="123">
        <f>IF(COUNTIF(HostBuild[Alias],HostBuild[Alias]),1/COUNTIF(HostBuild[Alias],HostBuild[Alias]),0)</f>
        <v>1</v>
      </c>
      <c r="AK112" s="124"/>
      <c r="AL112" s="124"/>
      <c r="AM112" s="44" t="s">
        <v>62</v>
      </c>
      <c r="AN112" s="45" t="str">
        <f>IF(NOT(ISBLANK(HostBuild[Server Model])),VLOOKUP(HostBuild[Server Model],[1]!ServerModelsTier[#Data],2,FALSE),"")</f>
        <v>x86 Tier 3</v>
      </c>
      <c r="AO112" s="45" t="str">
        <f>IF(NOT(ISBLANK(HostBuild[Server Model])),VLOOKUP(HostBuild[Server Model],[1]!ServerModelsTier[#Data],5,FALSE),"")</f>
        <v>x86</v>
      </c>
      <c r="AP112" s="44"/>
      <c r="AQ112" s="44" t="s">
        <v>63</v>
      </c>
      <c r="AR112" s="46">
        <v>2</v>
      </c>
      <c r="AS112" s="108"/>
      <c r="AT112" s="47">
        <v>16</v>
      </c>
      <c r="AU112" s="109" t="str">
        <f>IF(IFERROR(FIND("P-Series",HostBuild[Server Tier]),0),CEILING((HostBuild[Existing CPUs]+HostBuild[CPU])*16,8),"")</f>
        <v/>
      </c>
      <c r="AV112" s="48">
        <v>128</v>
      </c>
      <c r="AW112" s="124"/>
      <c r="AX112" s="124"/>
      <c r="AY112" s="124"/>
      <c r="AZ112" s="49"/>
      <c r="BA112" s="124"/>
      <c r="BB112" s="124"/>
      <c r="BC112" s="42"/>
      <c r="BD112" s="124"/>
      <c r="BE112" s="124"/>
      <c r="BF112" s="124"/>
      <c r="BG112" s="124"/>
      <c r="BH112" s="124"/>
      <c r="BI112" s="124"/>
      <c r="BJ112" s="124"/>
      <c r="BK112"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2" s="127">
        <v>3200</v>
      </c>
      <c r="BM112" s="129">
        <f>IF(ISNUMBER(HostBuild[Recommended SAN (GB)]),HostBuild[Recommended SAN (GB)])+IF(HostBuild[Additional SAN (GB)]&gt;0,CEILING(HostBuild[Additional SAN (GB)],LUN),-(CEILING(-HostBuild[Additional SAN (GB)],LUN)))</f>
        <v>3403.7000000000003</v>
      </c>
      <c r="BN112" s="128"/>
      <c r="BO112" s="129">
        <f>HostBuild[SAN (GB)
NEEDED TODAY]+CEILING(HostBuild[SAN (GB)
RESERVED
DO NOT USE TO BUILD], LUN)</f>
        <v>3403.7000000000003</v>
      </c>
      <c r="BP112" s="130">
        <v>3000</v>
      </c>
      <c r="BQ112" s="131"/>
      <c r="BR112" s="125" t="s">
        <v>76</v>
      </c>
      <c r="BS112" s="110">
        <f>IF(HostBuild[Existing Server?]&lt;&gt;"Yes - Inside this BoM",IF(ISNUMBER(HostBuild[RAM 
(GB)]),IF(HostBuild[Existing RAM (GB)]+HostBuild[RAM 
(GB)]&gt;0,IF(HostBuild[Virtual Platform Storage Type]="NAS",110+HostBuild[Existing RAM (GB)]+HostBuild[RAM 
(GB)]*1.75,0),0),0),0)</f>
        <v>0</v>
      </c>
      <c r="BT112" s="111"/>
      <c r="BU112" s="112">
        <f>IF(ISNUMBER(HostBuild[Recommended NAS (GB)]),HostBuild[Recommended NAS (GB)])+HostBuild[Additional NAS (GB)]</f>
        <v>0</v>
      </c>
      <c r="BV112" s="50"/>
      <c r="BW112" s="50"/>
      <c r="BX112" s="133">
        <f>IFERROR((HostBuild[SAN (GB)
End-State
DO NOT USE TO BUILD]+HostBuild[SAN (GB) Shared])*25%,"")</f>
        <v>1600.9250000000002</v>
      </c>
      <c r="BY112" s="113">
        <f>IFERROR(HostBuild[Archive
Full (GB)]*15%,"")</f>
        <v>240.13875000000002</v>
      </c>
      <c r="BZ112" s="51"/>
      <c r="CA112" s="51"/>
      <c r="CB112" s="52"/>
      <c r="CC112" s="53"/>
      <c r="CD112" s="52"/>
      <c r="CE112" s="54"/>
      <c r="CF112" s="128"/>
      <c r="CG112" s="114"/>
      <c r="CH112" s="55"/>
      <c r="CI112" s="56"/>
      <c r="CJ112" s="57"/>
      <c r="CK112" s="58"/>
      <c r="CL112" s="59">
        <f>IFERROR(IF(FIND(CL$1,$W112)&gt;0,IF(INDEX([1]!Product_Pricing_Table[#Data],MATCH(CL$1,Products,0),2)="Cores",IF(HostBuild[Use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2" s="59">
        <f>IFERROR(IF(FIND(CM$1,$W112)&gt;0,IF(INDEX([1]!Product_Pricing_Table[#Data],MATCH(CM$1,Products,0),2)="Cores",IF(HostBuild[Use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2" s="59">
        <f>IFERROR(IF(FIND(CN$1,$W112)&gt;0,IF(INDEX([1]!Product_Pricing_Table[#Data],MATCH(CN$1,Products,0),2)="Cores",IF(HostBuild[Use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2" s="59">
        <f>IFERROR(IF(FIND(CO$1,$W112)&gt;0,IF(INDEX([1]!Product_Pricing_Table[#Data],MATCH(CO$1,Products,0),2)="Cores",IF(HostBuild[Use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2" s="59">
        <f>IFERROR(IF(FIND(CP$1,$W112)&gt;0,IF(INDEX([1]!Product_Pricing_Table[#Data],MATCH(CP$1,Products,0),2)="Cores",IF(HostBuild[Use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2" s="59">
        <f>IFERROR(IF(FIND(CQ$1,$W112)&gt;0,IF(INDEX([1]!Product_Pricing_Table[#Data],MATCH(CQ$1,Products,0),2)="Cores",IF(HostBuild[Use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2" s="59">
        <f>IFERROR(IF(FIND(CR$1,$W112)&gt;0,IF(INDEX([1]!Product_Pricing_Table[#Data],MATCH(CR$1,Products,0),2)="Cores",IF(HostBuild[Use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2" s="59">
        <f>IFERROR(IF(FIND(CS$1,$W112)&gt;0,IF(INDEX([1]!Product_Pricing_Table[#Data],MATCH(CS$1,Products,0),2)="Cores",IF(HostBuild[Use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2" s="59">
        <f>IFERROR(IF(FIND(CT$1,$W112)&gt;0,IF(INDEX([1]!Product_Pricing_Table[#Data],MATCH(CT$1,Products,0),2)="Cores",IF(HostBuild[Use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2" s="59">
        <f>IFERROR(IF(FIND(CU$1,$W112)&gt;0,IF(INDEX([1]!Product_Pricing_Table[#Data],MATCH(CU$1,Products,0),2)="Cores",IF(HostBuild[Use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2" s="59">
        <f>IFERROR(IF(FIND(CV$1,$W112)&gt;0,IF(INDEX([1]!Product_Pricing_Table[#Data],MATCH(CV$1,Products,0),2)="Cores",IF(HostBuild[Use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2" s="59">
        <f>IFERROR(IF(FIND(CW$1,$W112)&gt;0,IF(INDEX([1]!Product_Pricing_Table[#Data],MATCH(CW$1,Products,0),2)="Cores",IF(HostBuild[Use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2" s="59">
        <f>IFERROR(IF(FIND(CX$1,$W112)&gt;0,IF(INDEX([1]!Product_Pricing_Table[#Data],MATCH(CX$1,Products,0),2)="Cores",IF(HostBuild[Use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2" s="59">
        <f>IFERROR(IF(FIND(CY$1,$W112)&gt;0,IF(INDEX([1]!Product_Pricing_Table[#Data],MATCH(CY$1,Products,0),2)="Cores",IF(HostBuild[Use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2" s="59">
        <f>IFERROR(IF(FIND(CZ$1,$W112)&gt;0,IF(INDEX([1]!Product_Pricing_Table[#Data],MATCH(CZ$1,Products,0),2)="Cores",IF(HostBuild[Use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2" s="59">
        <f>IFERROR(IF(FIND(DA$1,$W112)&gt;0,IF(INDEX([1]!Product_Pricing_Table[#Data],MATCH(DA$1,Products,0),2)="Cores",IF(HostBuild[Use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2" s="59">
        <f>IFERROR(IF(FIND(DB$1,$W112)&gt;0,IF(INDEX([1]!Product_Pricing_Table[#Data],MATCH(DB$1,Products,0),2)="Cores",IF(HostBuild[Use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2" s="59">
        <f>IFERROR(IF(FIND(DC$1,$W112)&gt;0,IF(INDEX([1]!Product_Pricing_Table[#Data],MATCH(DC$1,Products,0),2)="Cores",IF(HostBuild[Use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2" s="59">
        <f>IFERROR(IF(FIND(DD$1,$W112)&gt;0,IF(INDEX([1]!Product_Pricing_Table[#Data],MATCH(DD$1,Products,0),2)="Cores",IF(HostBuild[Use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2" s="59">
        <f>IFERROR(IF(FIND(DE$1,$W112)&gt;0,IF(INDEX([1]!Product_Pricing_Table[#Data],MATCH(DE$1,Products,0),2)="Cores",IF(HostBuild[Use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2" s="60">
        <f>IFERROR(IF(FIND(DF$1,$W112)&gt;0,IF(INDEX([1]!Product_Pricing_Table[#Data],MATCH(DF$1,Products,0),2)="Cores",IF(HostBuild[Use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2" s="60">
        <f>IFERROR(IF(FIND(DG$1,$W112)&gt;0,IF(INDEX([1]!Product_Pricing_Table[#Data],MATCH(DG$1,Products,0),2)="Cores",IF(HostBuild[Use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2" s="59">
        <f>IFERROR(IF(FIND(DH$1,$W112)&gt;0,IF(INDEX([1]!Product_Pricing_Table[#Data],MATCH(DH$1,Products,0),2)="Cores",IF(HostBuild[Use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2" s="60">
        <f>IFERROR(IF(FIND(DI$1,$W112)&gt;0,IF(INDEX([1]!Product_Pricing_Table[#Data],MATCH(DI$1,Products,0),2)="Cores",IF(HostBuild[Use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2" s="59">
        <f>IFERROR(IF(FIND(DJ$1,$W112)&gt;0,IF(INDEX([1]!Product_Pricing_Table[#Data],MATCH(DJ$1,Products,0),2)="Cores",IF(HostBuild[Use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2" s="59">
        <f>IFERROR(IF(FIND(DK$1,$W112)&gt;0,IF(INDEX([1]!Product_Pricing_Table[#Data],MATCH(DK$1,Products,0),2)="Cores",IF(HostBuild[Use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2" s="59">
        <f>IFERROR(IF(FIND(DL$1,$W112)&gt;0,IF(INDEX([1]!Product_Pricing_Table[#Data],MATCH(DL$1,Products,0),2)="Cores",IF(HostBuild[Use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2" s="59">
        <f>IFERROR(IF(FIND(DM$1,$W112)&gt;0,IF(INDEX([1]!Product_Pricing_Table[#Data],MATCH(DM$1,Products,0),2)="Cores",IF(HostBuild[Use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2" s="59">
        <f>IFERROR(IF(FIND(DN$1,$W112)&gt;0,IF(INDEX([1]!Product_Pricing_Table[#Data],MATCH(DN$1,Products,0),2)="Cores",IF(HostBuild[Use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2" s="59">
        <f>IFERROR(IF(FIND(DO$1,$W112)&gt;0,IF(INDEX([1]!Product_Pricing_Table[#Data],MATCH(DO$1,Products,0),2)="Cores",IF(HostBuild[Use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2" s="59">
        <f>IFERROR(IF(FIND(DP$1,$W112)&gt;0,IF(INDEX([1]!Product_Pricing_Table[#Data],MATCH(DP$1,Products,0),2)="Cores",IF(HostBuild[Use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2" s="59">
        <f>IFERROR(IF(FIND(DQ$1,$W112)&gt;0,IF(INDEX([1]!Product_Pricing_Table[#Data],MATCH(DQ$1,Products,0),2)="Cores",IF(HostBuild[Use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2" s="59">
        <f>IFERROR(IF(FIND(DR$1,$W112)&gt;0,IF(INDEX([1]!Product_Pricing_Table[#Data],MATCH(DR$1,Products,0),2)="Cores",IF(HostBuild[Use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2" s="59">
        <f>IFERROR(IF(FIND(DS$1,$W112)&gt;0,IF(INDEX([1]!Product_Pricing_Table[#Data],MATCH(DS$1,Products,0),2)="Cores",IF(HostBuild[Use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2" s="59">
        <f>IFERROR(IF(FIND(DT$1,$W112)&gt;0,IF(INDEX([1]!Product_Pricing_Table[#Data],MATCH(DT$1,Products,0),2)="Cores",IF(HostBuild[Use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2" s="59">
        <f>IFERROR(IF(FIND(DU$1,$W112)&gt;0,IF(INDEX([1]!Product_Pricing_Table[#Data],MATCH(DU$1,Products,0),2)="Cores",IF(HostBuild[Use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2" s="59">
        <f>IFERROR(IF(FIND(DV$1,$W112)&gt;0,IF(INDEX([1]!Product_Pricing_Table[#Data],MATCH(DV$1,Products,0),2)="Cores",IF(HostBuild[Use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12" s="59">
        <f>IFERROR(IF(FIND(DW$1,$W112)&gt;0,IF(INDEX([1]!Product_Pricing_Table[#Data],MATCH(DW$1,Products,0),2)="Cores",IF(HostBuild[Use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2" s="59">
        <f>IFERROR(IF(FIND(DX$1,$W112)&gt;0,IF(INDEX([1]!Product_Pricing_Table[#Data],MATCH(DX$1,Products,0),2)="Cores",IF(HostBuild[Use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2" s="59">
        <f>IFERROR(IF(FIND(DY$1,$W112)&gt;0,IF(INDEX([1]!Product_Pricing_Table[#Data],MATCH(DY$1,Products,0),2)="Cores",IF(HostBuild[Use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2" s="59">
        <f>IFERROR(IF(FIND(DZ$1,$W112)&gt;0,IF(INDEX([1]!Product_Pricing_Table[#Data],MATCH(DZ$1,Products,0),2)="Cores",IF(HostBuild[Use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2" s="59">
        <f>IFERROR(IF(FIND(EA$1,$W112)&gt;0,IF(INDEX([1]!Product_Pricing_Table[#Data],MATCH(EA$1,Products,0),2)="Cores",IF(HostBuild[Use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2" s="59">
        <f>IFERROR(IF(FIND(EB$1,$W112)&gt;0,IF(INDEX([1]!Product_Pricing_Table[#Data],MATCH(EB$1,Products,0),2)="Cores",IF(HostBuild[Use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2" s="60">
        <f>IFERROR(IF(FIND(EC$1,$W112)&gt;0,IF(INDEX([1]!Product_Pricing_Table[#Data],MATCH(EC$1,Products,0),2)="Cores",IF(HostBuild[Use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2" s="59">
        <f>IFERROR(IF(FIND(ED$1,$W112)&gt;0,IF(INDEX([1]!Product_Pricing_Table[#Data],MATCH(ED$1,Products,0),2)="Cores",IF(HostBuild[Use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2" s="59">
        <f>IFERROR(IF(FIND(EE$1,$W112)&gt;0,IF(INDEX([1]!Product_Pricing_Table[#Data],MATCH(EE$1,Products,0),2)="Cores",IF(HostBuild[Use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2" s="59">
        <f>IFERROR(IF(FIND(EF$1,$W112)&gt;0,IF(INDEX([1]!Product_Pricing_Table[#Data],MATCH(EF$1,Products,0),2)="Cores",IF(HostBuild[Use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2" s="59">
        <f>IFERROR(IF(FIND(EG$1,$W112)&gt;0,IF(INDEX([1]!Product_Pricing_Table[#Data],MATCH(EG$1,Products,0),2)="Cores",IF(HostBuild[Use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2" s="59">
        <f>IFERROR(IF(FIND(EH$1,$W112)&gt;0,IF(INDEX([1]!Product_Pricing_Table[#Data],MATCH(EH$1,Products,0),2)="Cores",IF(HostBuild[Use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2" s="59">
        <f>IFERROR(IF(FIND(EI$1,$W112)&gt;0,IF(INDEX([1]!Product_Pricing_Table[#Data],MATCH(EI$1,Products,0),2)="Cores",IF(HostBuild[Use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2" s="59">
        <f>IFERROR(IF(FIND(EJ$1,$W112)&gt;0,IF(INDEX([1]!Product_Pricing_Table[#Data],MATCH(EJ$1,Products,0),2)="Cores",IF(HostBuild[Use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2" s="60">
        <f>IFERROR(IF(FIND(EK$1,$W112)&gt;0,IF(INDEX([1]!Product_Pricing_Table[#Data],MATCH(EK$1,Products,0),2)="Cores",IF(HostBuild[Use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2" s="61"/>
      <c r="EM112" s="62">
        <v>0</v>
      </c>
      <c r="EN112" s="63">
        <v>0</v>
      </c>
      <c r="EO112"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4564.6650000000009</v>
      </c>
      <c r="EQ112" s="132">
        <f>(HostBuild[Archive
Full (GB)]+HostBuild[Archive
Incr (GB)])*Storage_DC_Dist_Tape_2014</f>
        <v>644.37231250000002</v>
      </c>
      <c r="ER112" s="132">
        <f>IF(ISNUMBER(HostBuild[Server HW Costs
(Monthly)]),SUM(HostBuild[[#This Row],[Server HW Costs
(Monthly)]:[Tape Costs
(Monthly)]]),0)</f>
        <v>6097.7373125000004</v>
      </c>
      <c r="ES112" s="65">
        <f>HostBuild[Software Costs
'[Year 1']
(Monthly)]+HostBuild[Total Hardware Costs
(Monthly)]</f>
        <v>6097.7373125000004</v>
      </c>
      <c r="ET112" s="65">
        <f>IFERROR(IF(FIND("Safenet",HostBuild[Server Model]),Safenet_PSE_PL600_Maint,0),0)+IFERROR(IF(FIND("XI52",HostBuild[Server Model]),IBM_DIA_XI52_Maint,0),0)+HostBuild[Software Costs
'[After Year 1']
(Monthly)]+HostBuild[Total Hardware Costs
(Monthly)]</f>
        <v>6097.7373125000004</v>
      </c>
      <c r="EU112" s="66">
        <f>SUM(HostBuild[[#This Row],[Server Cost Breakdown]:[Network Cost]])</f>
        <v>888.7</v>
      </c>
      <c r="EV112" s="67">
        <f>IF(HostBuild[Existing Server?]="Yes - Inside this BoM",0,SUMIF(HostBuild[Alias],HostBuild[Alias],HostBuild[CPU])+SUMIF(HostBuild[Alias],HostBuild[Alias],HostBuild[Existing CPUs]))</f>
        <v>2</v>
      </c>
      <c r="EW112" s="67">
        <f>IF(HostBuild[Existing Server?]="Yes - Inside this BoM",0,SUMIF(HostBuild[Alias],HostBuild[Alias],HostBuild[Cores 
(Licensed Units)])+SUMIF(HostBuild[Alias],HostBuild[Alias],HostBuild[Existing Cores]))</f>
        <v>16</v>
      </c>
      <c r="EX112" s="67">
        <f>IF(HostBuild[Existing Server?]="Yes - Inside this BoM",0,SUMIF(HostBuild[Alias],HostBuild[Alias],HostBuild[RAM 
(GB)])+SUMIF(HostBuild[Alias],HostBuild[Alias],HostBuild[Existing RAM (GB)]))</f>
        <v>128</v>
      </c>
      <c r="EY11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2" s="66">
        <f>IF(ISBLANK(HostBuild[Server Model]),0,IF(HostBuild[Server Tier]="VMware",0,VLOOKUP(HostBuild[Server Tier],[1]!ServerTierRates[#Data],2,0))*HostBuild[CPU]*IF(AND(HostBuild[Server Type]="pSeries",HostBuild[Virtual Platform Storage Type]="Cloud-SAN"),0.25,1))</f>
        <v>608</v>
      </c>
      <c r="FD112" s="66">
        <f>0</f>
        <v>0</v>
      </c>
      <c r="FE112" s="66">
        <f>IF(HostBuild[Server Type]="VMware",HostBuild[RAM 
(GB)]*IF(ISERROR(FIND("DevCloud", HostBuild[Server Model])&gt;0),vRAM_per_vCPU_2014_Monthly,vRAM_per_vCPU_2014_Daily*30),0)</f>
        <v>0</v>
      </c>
      <c r="FF11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2" s="69">
        <f>IF(HostBuild[Server Tier]="VMware",0,IF(LEFT(HostBuild[Existing Server?],3)="Yes",0,IF(OR(HostBuild[Server Type]="Sun",HostBuild[Server Type]="pSeries"),Support_Direct_Server_Sun_per_OS_2014,IF(HostBuild[Server Type]="x86",Support_Direct_Server_x86_Wintel_per_OS_2014,0))))</f>
        <v>187.1</v>
      </c>
      <c r="FI11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3" spans="1:165" hidden="1">
      <c r="A113" s="122" t="s">
        <v>53</v>
      </c>
      <c r="B113" s="36"/>
      <c r="C113" s="36"/>
      <c r="D113" s="36"/>
      <c r="E113" s="37"/>
      <c r="F113" s="37"/>
      <c r="G113" s="103"/>
      <c r="H113" s="103"/>
      <c r="I113" s="38"/>
      <c r="J113" s="37"/>
      <c r="K113" s="37"/>
      <c r="L113" s="37"/>
      <c r="M113" s="103" t="e">
        <f ca="1">IF(rngIsDate(HostBuild[CTO Acceptance]),"Y","N")</f>
        <v>#NAME?</v>
      </c>
      <c r="N113" s="123" t="s">
        <v>4</v>
      </c>
      <c r="O113" s="39"/>
      <c r="P113" s="39"/>
      <c r="Q113" s="123" t="s">
        <v>0</v>
      </c>
      <c r="R113" s="126" t="str">
        <f>IF(NOT(ISBLANK(HostBuild[Env Label])),IFERROR(VLOOKUP(HostBuild[Env Label],[1]!tEnv[#Data],3,FALSE),""),"")</f>
        <v/>
      </c>
      <c r="S113" s="104"/>
      <c r="T113" s="40"/>
      <c r="U113" s="105"/>
      <c r="V113" s="123" t="s">
        <v>24</v>
      </c>
      <c r="W113" s="123" t="s">
        <v>191</v>
      </c>
      <c r="X113" s="123" t="s">
        <v>99</v>
      </c>
      <c r="Y113" s="123" t="s">
        <v>188</v>
      </c>
      <c r="Z113" s="126" t="str">
        <f>IF(NOT(ISBLANK(HostBuild[[#This Row],[Product 
(Acronym)]])),CONCATENATE(HostBuild[[#This Row],[Type]],"-",HostBuild[[#This Row],[Product 
(Acronym)]]),"")</f>
        <v>DB-CBOL</v>
      </c>
      <c r="AA113" s="106"/>
      <c r="AB113" s="106" t="s">
        <v>76</v>
      </c>
      <c r="AC113" s="41"/>
      <c r="AD113" s="42"/>
      <c r="AE113" s="42"/>
      <c r="AF113" s="43"/>
      <c r="AG113" s="124"/>
      <c r="AH113" s="107"/>
      <c r="AI113" s="124" t="s">
        <v>27</v>
      </c>
      <c r="AJ113" s="123">
        <f>IF(COUNTIF(HostBuild[Alias],HostBuild[Alias]),1/COUNTIF(HostBuild[Alias],HostBuild[Alias]),0)</f>
        <v>1</v>
      </c>
      <c r="AK113" s="124"/>
      <c r="AL113" s="124"/>
      <c r="AM113" s="44" t="s">
        <v>62</v>
      </c>
      <c r="AN113" s="45" t="str">
        <f>IF(NOT(ISBLANK(HostBuild[Server Model])),VLOOKUP(HostBuild[Server Model],[1]!ServerModelsTier[#Data],2,FALSE),"")</f>
        <v>x86 Tier 3</v>
      </c>
      <c r="AO113" s="45" t="str">
        <f>IF(NOT(ISBLANK(HostBuild[Server Model])),VLOOKUP(HostBuild[Server Model],[1]!ServerModelsTier[#Data],5,FALSE),"")</f>
        <v>x86</v>
      </c>
      <c r="AP113" s="44"/>
      <c r="AQ113" s="44" t="s">
        <v>63</v>
      </c>
      <c r="AR113" s="46">
        <v>2</v>
      </c>
      <c r="AS113" s="108"/>
      <c r="AT113" s="47">
        <v>16</v>
      </c>
      <c r="AU113" s="109" t="str">
        <f>IF(IFERROR(FIND("P-Series",HostBuild[Server Tier]),0),CEILING((HostBuild[Existing CPUs]+HostBuild[CPU])*16,8),"")</f>
        <v/>
      </c>
      <c r="AV113" s="48">
        <v>128</v>
      </c>
      <c r="AW113" s="124"/>
      <c r="AX113" s="124"/>
      <c r="AY113" s="124"/>
      <c r="AZ113" s="49"/>
      <c r="BA113" s="124"/>
      <c r="BB113" s="124"/>
      <c r="BC113" s="42"/>
      <c r="BD113" s="124"/>
      <c r="BE113" s="124"/>
      <c r="BF113" s="124"/>
      <c r="BG113" s="124"/>
      <c r="BH113" s="124"/>
      <c r="BI113" s="124"/>
      <c r="BJ113" s="124"/>
      <c r="BK113"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3" s="127">
        <v>200</v>
      </c>
      <c r="BM113" s="129">
        <f>IF(ISNUMBER(HostBuild[Recommended SAN (GB)]),HostBuild[Recommended SAN (GB)])+IF(HostBuild[Additional SAN (GB)]&gt;0,CEILING(HostBuild[Additional SAN (GB)],LUN),-(CEILING(-HostBuild[Additional SAN (GB)],LUN)))</f>
        <v>404.40000000000003</v>
      </c>
      <c r="BN113" s="128"/>
      <c r="BO113" s="129">
        <f>HostBuild[SAN (GB)
NEEDED TODAY]+CEILING(HostBuild[SAN (GB)
RESERVED
DO NOT USE TO BUILD], LUN)</f>
        <v>404.40000000000003</v>
      </c>
      <c r="BP113" s="130"/>
      <c r="BQ113" s="131"/>
      <c r="BR113" s="125" t="s">
        <v>76</v>
      </c>
      <c r="BS113" s="110">
        <f>IF(HostBuild[Existing Server?]&lt;&gt;"Yes - Inside this BoM",IF(ISNUMBER(HostBuild[RAM 
(GB)]),IF(HostBuild[Existing RAM (GB)]+HostBuild[RAM 
(GB)]&gt;0,IF(HostBuild[Virtual Platform Storage Type]="NAS",110+HostBuild[Existing RAM (GB)]+HostBuild[RAM 
(GB)]*1.75,0),0),0),0)</f>
        <v>0</v>
      </c>
      <c r="BT113" s="111"/>
      <c r="BU113" s="112">
        <f>IF(ISNUMBER(HostBuild[Recommended NAS (GB)]),HostBuild[Recommended NAS (GB)])+HostBuild[Additional NAS (GB)]</f>
        <v>0</v>
      </c>
      <c r="BV113" s="50"/>
      <c r="BW113" s="50"/>
      <c r="BX113" s="133">
        <f>IFERROR((HostBuild[SAN (GB)
End-State
DO NOT USE TO BUILD]+HostBuild[SAN (GB) Shared])*25%,"")</f>
        <v>101.10000000000001</v>
      </c>
      <c r="BY113" s="113">
        <f>IFERROR(HostBuild[Archive
Full (GB)]*15%,"")</f>
        <v>15.165000000000001</v>
      </c>
      <c r="BZ113" s="51"/>
      <c r="CA113" s="51"/>
      <c r="CB113" s="52"/>
      <c r="CC113" s="53"/>
      <c r="CD113" s="52"/>
      <c r="CE113" s="54"/>
      <c r="CF113" s="128"/>
      <c r="CG113" s="114"/>
      <c r="CH113" s="55"/>
      <c r="CI113" s="56"/>
      <c r="CJ113" s="57"/>
      <c r="CK113" s="58"/>
      <c r="CL113" s="59">
        <f>IFERROR(IF(FIND(CL$1,$W113)&gt;0,IF(INDEX([1]!Product_Pricing_Table[#Data],MATCH(CL$1,Products,0),2)="Cores",IF(HostBuild[Use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3" s="59">
        <f>IFERROR(IF(FIND(CM$1,$W113)&gt;0,IF(INDEX([1]!Product_Pricing_Table[#Data],MATCH(CM$1,Products,0),2)="Cores",IF(HostBuild[Use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3" s="59">
        <f>IFERROR(IF(FIND(CN$1,$W113)&gt;0,IF(INDEX([1]!Product_Pricing_Table[#Data],MATCH(CN$1,Products,0),2)="Cores",IF(HostBuild[Use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3" s="59">
        <f>IFERROR(IF(FIND(CO$1,$W113)&gt;0,IF(INDEX([1]!Product_Pricing_Table[#Data],MATCH(CO$1,Products,0),2)="Cores",IF(HostBuild[Use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3" s="59">
        <f>IFERROR(IF(FIND(CP$1,$W113)&gt;0,IF(INDEX([1]!Product_Pricing_Table[#Data],MATCH(CP$1,Products,0),2)="Cores",IF(HostBuild[Use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3" s="59">
        <f>IFERROR(IF(FIND(CQ$1,$W113)&gt;0,IF(INDEX([1]!Product_Pricing_Table[#Data],MATCH(CQ$1,Products,0),2)="Cores",IF(HostBuild[Use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3" s="59">
        <f>IFERROR(IF(FIND(CR$1,$W113)&gt;0,IF(INDEX([1]!Product_Pricing_Table[#Data],MATCH(CR$1,Products,0),2)="Cores",IF(HostBuild[Use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3" s="59">
        <f>IFERROR(IF(FIND(CS$1,$W113)&gt;0,IF(INDEX([1]!Product_Pricing_Table[#Data],MATCH(CS$1,Products,0),2)="Cores",IF(HostBuild[Use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3" s="59">
        <f>IFERROR(IF(FIND(CT$1,$W113)&gt;0,IF(INDEX([1]!Product_Pricing_Table[#Data],MATCH(CT$1,Products,0),2)="Cores",IF(HostBuild[Use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3" s="59">
        <f>IFERROR(IF(FIND(CU$1,$W113)&gt;0,IF(INDEX([1]!Product_Pricing_Table[#Data],MATCH(CU$1,Products,0),2)="Cores",IF(HostBuild[Use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3" s="59">
        <f>IFERROR(IF(FIND(CV$1,$W113)&gt;0,IF(INDEX([1]!Product_Pricing_Table[#Data],MATCH(CV$1,Products,0),2)="Cores",IF(HostBuild[Use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3" s="59">
        <f>IFERROR(IF(FIND(CW$1,$W113)&gt;0,IF(INDEX([1]!Product_Pricing_Table[#Data],MATCH(CW$1,Products,0),2)="Cores",IF(HostBuild[Use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3" s="59">
        <f>IFERROR(IF(FIND(CX$1,$W113)&gt;0,IF(INDEX([1]!Product_Pricing_Table[#Data],MATCH(CX$1,Products,0),2)="Cores",IF(HostBuild[Use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3" s="59">
        <f>IFERROR(IF(FIND(CY$1,$W113)&gt;0,IF(INDEX([1]!Product_Pricing_Table[#Data],MATCH(CY$1,Products,0),2)="Cores",IF(HostBuild[Use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3" s="59">
        <f>IFERROR(IF(FIND(CZ$1,$W113)&gt;0,IF(INDEX([1]!Product_Pricing_Table[#Data],MATCH(CZ$1,Products,0),2)="Cores",IF(HostBuild[Use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3" s="59">
        <f>IFERROR(IF(FIND(DA$1,$W113)&gt;0,IF(INDEX([1]!Product_Pricing_Table[#Data],MATCH(DA$1,Products,0),2)="Cores",IF(HostBuild[Use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3" s="59">
        <f>IFERROR(IF(FIND(DB$1,$W113)&gt;0,IF(INDEX([1]!Product_Pricing_Table[#Data],MATCH(DB$1,Products,0),2)="Cores",IF(HostBuild[Use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3" s="59">
        <f>IFERROR(IF(FIND(DC$1,$W113)&gt;0,IF(INDEX([1]!Product_Pricing_Table[#Data],MATCH(DC$1,Products,0),2)="Cores",IF(HostBuild[Use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3" s="59">
        <f>IFERROR(IF(FIND(DD$1,$W113)&gt;0,IF(INDEX([1]!Product_Pricing_Table[#Data],MATCH(DD$1,Products,0),2)="Cores",IF(HostBuild[Use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3" s="59">
        <f>IFERROR(IF(FIND(DE$1,$W113)&gt;0,IF(INDEX([1]!Product_Pricing_Table[#Data],MATCH(DE$1,Products,0),2)="Cores",IF(HostBuild[Use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3" s="60">
        <f>IFERROR(IF(FIND(DF$1,$W113)&gt;0,IF(INDEX([1]!Product_Pricing_Table[#Data],MATCH(DF$1,Products,0),2)="Cores",IF(HostBuild[Use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3" s="60">
        <f>IFERROR(IF(FIND(DG$1,$W113)&gt;0,IF(INDEX([1]!Product_Pricing_Table[#Data],MATCH(DG$1,Products,0),2)="Cores",IF(HostBuild[Use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3" s="59">
        <f>IFERROR(IF(FIND(DH$1,$W113)&gt;0,IF(INDEX([1]!Product_Pricing_Table[#Data],MATCH(DH$1,Products,0),2)="Cores",IF(HostBuild[Use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3" s="60">
        <f>IFERROR(IF(FIND(DI$1,$W113)&gt;0,IF(INDEX([1]!Product_Pricing_Table[#Data],MATCH(DI$1,Products,0),2)="Cores",IF(HostBuild[Use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3" s="59">
        <f>IFERROR(IF(FIND(DJ$1,$W113)&gt;0,IF(INDEX([1]!Product_Pricing_Table[#Data],MATCH(DJ$1,Products,0),2)="Cores",IF(HostBuild[Use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3" s="59">
        <f>IFERROR(IF(FIND(DK$1,$W113)&gt;0,IF(INDEX([1]!Product_Pricing_Table[#Data],MATCH(DK$1,Products,0),2)="Cores",IF(HostBuild[Use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3" s="59">
        <f>IFERROR(IF(FIND(DL$1,$W113)&gt;0,IF(INDEX([1]!Product_Pricing_Table[#Data],MATCH(DL$1,Products,0),2)="Cores",IF(HostBuild[Use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3" s="59">
        <f>IFERROR(IF(FIND(DM$1,$W113)&gt;0,IF(INDEX([1]!Product_Pricing_Table[#Data],MATCH(DM$1,Products,0),2)="Cores",IF(HostBuild[Use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3" s="59">
        <f>IFERROR(IF(FIND(DN$1,$W113)&gt;0,IF(INDEX([1]!Product_Pricing_Table[#Data],MATCH(DN$1,Products,0),2)="Cores",IF(HostBuild[Use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3" s="59">
        <f>IFERROR(IF(FIND(DO$1,$W113)&gt;0,IF(INDEX([1]!Product_Pricing_Table[#Data],MATCH(DO$1,Products,0),2)="Cores",IF(HostBuild[Use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3" s="59">
        <f>IFERROR(IF(FIND(DP$1,$W113)&gt;0,IF(INDEX([1]!Product_Pricing_Table[#Data],MATCH(DP$1,Products,0),2)="Cores",IF(HostBuild[Use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3" s="59">
        <f>IFERROR(IF(FIND(DQ$1,$W113)&gt;0,IF(INDEX([1]!Product_Pricing_Table[#Data],MATCH(DQ$1,Products,0),2)="Cores",IF(HostBuild[Use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3" s="59">
        <f>IFERROR(IF(FIND(DR$1,$W113)&gt;0,IF(INDEX([1]!Product_Pricing_Table[#Data],MATCH(DR$1,Products,0),2)="Cores",IF(HostBuild[Use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3" s="59">
        <f>IFERROR(IF(FIND(DS$1,$W113)&gt;0,IF(INDEX([1]!Product_Pricing_Table[#Data],MATCH(DS$1,Products,0),2)="Cores",IF(HostBuild[Use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3" s="59">
        <f>IFERROR(IF(FIND(DT$1,$W113)&gt;0,IF(INDEX([1]!Product_Pricing_Table[#Data],MATCH(DT$1,Products,0),2)="Cores",IF(HostBuild[Use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3" s="59">
        <f>IFERROR(IF(FIND(DU$1,$W113)&gt;0,IF(INDEX([1]!Product_Pricing_Table[#Data],MATCH(DU$1,Products,0),2)="Cores",IF(HostBuild[Use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3" s="59">
        <f>IFERROR(IF(FIND(DV$1,$W113)&gt;0,IF(INDEX([1]!Product_Pricing_Table[#Data],MATCH(DV$1,Products,0),2)="Cores",IF(HostBuild[Use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13" s="59">
        <f>IFERROR(IF(FIND(DW$1,$W113)&gt;0,IF(INDEX([1]!Product_Pricing_Table[#Data],MATCH(DW$1,Products,0),2)="Cores",IF(HostBuild[Use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3" s="59">
        <f>IFERROR(IF(FIND(DX$1,$W113)&gt;0,IF(INDEX([1]!Product_Pricing_Table[#Data],MATCH(DX$1,Products,0),2)="Cores",IF(HostBuild[Use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3" s="59">
        <f>IFERROR(IF(FIND(DY$1,$W113)&gt;0,IF(INDEX([1]!Product_Pricing_Table[#Data],MATCH(DY$1,Products,0),2)="Cores",IF(HostBuild[Use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3" s="59">
        <f>IFERROR(IF(FIND(DZ$1,$W113)&gt;0,IF(INDEX([1]!Product_Pricing_Table[#Data],MATCH(DZ$1,Products,0),2)="Cores",IF(HostBuild[Use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3" s="59">
        <f>IFERROR(IF(FIND(EA$1,$W113)&gt;0,IF(INDEX([1]!Product_Pricing_Table[#Data],MATCH(EA$1,Products,0),2)="Cores",IF(HostBuild[Use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3" s="59">
        <f>IFERROR(IF(FIND(EB$1,$W113)&gt;0,IF(INDEX([1]!Product_Pricing_Table[#Data],MATCH(EB$1,Products,0),2)="Cores",IF(HostBuild[Use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3" s="60">
        <f>IFERROR(IF(FIND(EC$1,$W113)&gt;0,IF(INDEX([1]!Product_Pricing_Table[#Data],MATCH(EC$1,Products,0),2)="Cores",IF(HostBuild[Use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3" s="59">
        <f>IFERROR(IF(FIND(ED$1,$W113)&gt;0,IF(INDEX([1]!Product_Pricing_Table[#Data],MATCH(ED$1,Products,0),2)="Cores",IF(HostBuild[Use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3" s="59">
        <f>IFERROR(IF(FIND(EE$1,$W113)&gt;0,IF(INDEX([1]!Product_Pricing_Table[#Data],MATCH(EE$1,Products,0),2)="Cores",IF(HostBuild[Use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3" s="59">
        <f>IFERROR(IF(FIND(EF$1,$W113)&gt;0,IF(INDEX([1]!Product_Pricing_Table[#Data],MATCH(EF$1,Products,0),2)="Cores",IF(HostBuild[Use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3" s="59">
        <f>IFERROR(IF(FIND(EG$1,$W113)&gt;0,IF(INDEX([1]!Product_Pricing_Table[#Data],MATCH(EG$1,Products,0),2)="Cores",IF(HostBuild[Use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3" s="59">
        <f>IFERROR(IF(FIND(EH$1,$W113)&gt;0,IF(INDEX([1]!Product_Pricing_Table[#Data],MATCH(EH$1,Products,0),2)="Cores",IF(HostBuild[Use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3" s="59">
        <f>IFERROR(IF(FIND(EI$1,$W113)&gt;0,IF(INDEX([1]!Product_Pricing_Table[#Data],MATCH(EI$1,Products,0),2)="Cores",IF(HostBuild[Use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3" s="59">
        <f>IFERROR(IF(FIND(EJ$1,$W113)&gt;0,IF(INDEX([1]!Product_Pricing_Table[#Data],MATCH(EJ$1,Products,0),2)="Cores",IF(HostBuild[Use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3" s="60">
        <f>IFERROR(IF(FIND(EK$1,$W113)&gt;0,IF(INDEX([1]!Product_Pricing_Table[#Data],MATCH(EK$1,Products,0),2)="Cores",IF(HostBuild[Use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3" s="61"/>
      <c r="EM113" s="62"/>
      <c r="EN113" s="63"/>
      <c r="EO113"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181.98000000000002</v>
      </c>
      <c r="EQ113" s="132">
        <f>(HostBuild[Archive
Full (GB)]+HostBuild[Archive
Incr (GB)])*Storage_DC_Dist_Tape_2014</f>
        <v>40.692750000000004</v>
      </c>
      <c r="ER113" s="132">
        <f>IF(ISNUMBER(HostBuild[Server HW Costs
(Monthly)]),SUM(HostBuild[[#This Row],[Server HW Costs
(Monthly)]:[Tape Costs
(Monthly)]]),0)</f>
        <v>1111.37275</v>
      </c>
      <c r="ES113" s="65">
        <f>HostBuild[Software Costs
'[Year 1']
(Monthly)]+HostBuild[Total Hardware Costs
(Monthly)]</f>
        <v>1111.37275</v>
      </c>
      <c r="ET113" s="65">
        <f>IFERROR(IF(FIND("Safenet",HostBuild[Server Model]),Safenet_PSE_PL600_Maint,0),0)+IFERROR(IF(FIND("XI52",HostBuild[Server Model]),IBM_DIA_XI52_Maint,0),0)+HostBuild[Software Costs
'[After Year 1']
(Monthly)]+HostBuild[Total Hardware Costs
(Monthly)]</f>
        <v>1111.37275</v>
      </c>
      <c r="EU113" s="66">
        <f>SUM(HostBuild[[#This Row],[Server Cost Breakdown]:[Network Cost]])</f>
        <v>888.7</v>
      </c>
      <c r="EV113" s="67">
        <f>IF(HostBuild[Existing Server?]="Yes - Inside this BoM",0,SUMIF(HostBuild[Alias],HostBuild[Alias],HostBuild[CPU])+SUMIF(HostBuild[Alias],HostBuild[Alias],HostBuild[Existing CPUs]))</f>
        <v>2</v>
      </c>
      <c r="EW113" s="67">
        <f>IF(HostBuild[Existing Server?]="Yes - Inside this BoM",0,SUMIF(HostBuild[Alias],HostBuild[Alias],HostBuild[Cores 
(Licensed Units)])+SUMIF(HostBuild[Alias],HostBuild[Alias],HostBuild[Existing Cores]))</f>
        <v>16</v>
      </c>
      <c r="EX113" s="67">
        <f>IF(HostBuild[Existing Server?]="Yes - Inside this BoM",0,SUMIF(HostBuild[Alias],HostBuild[Alias],HostBuild[RAM 
(GB)])+SUMIF(HostBuild[Alias],HostBuild[Alias],HostBuild[Existing RAM (GB)]))</f>
        <v>128</v>
      </c>
      <c r="EY11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3" s="66">
        <f>IF(ISBLANK(HostBuild[Server Model]),0,IF(HostBuild[Server Tier]="VMware",0,VLOOKUP(HostBuild[Server Tier],[1]!ServerTierRates[#Data],2,0))*HostBuild[CPU]*IF(AND(HostBuild[Server Type]="pSeries",HostBuild[Virtual Platform Storage Type]="Cloud-SAN"),0.25,1))</f>
        <v>608</v>
      </c>
      <c r="FD113" s="66">
        <f>0</f>
        <v>0</v>
      </c>
      <c r="FE113" s="66">
        <f>IF(HostBuild[Server Type]="VMware",HostBuild[RAM 
(GB)]*IF(ISERROR(FIND("DevCloud", HostBuild[Server Model])&gt;0),vRAM_per_vCPU_2014_Monthly,vRAM_per_vCPU_2014_Daily*30),0)</f>
        <v>0</v>
      </c>
      <c r="FF11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3" s="69">
        <f>IF(HostBuild[Server Tier]="VMware",0,IF(LEFT(HostBuild[Existing Server?],3)="Yes",0,IF(OR(HostBuild[Server Type]="Sun",HostBuild[Server Type]="pSeries"),Support_Direct_Server_Sun_per_OS_2014,IF(HostBuild[Server Type]="x86",Support_Direct_Server_x86_Wintel_per_OS_2014,0))))</f>
        <v>187.1</v>
      </c>
      <c r="FI11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4" spans="1:165" hidden="1">
      <c r="A114" s="122" t="s">
        <v>53</v>
      </c>
      <c r="B114" s="36"/>
      <c r="C114" s="36"/>
      <c r="D114" s="36"/>
      <c r="E114" s="37"/>
      <c r="F114" s="37"/>
      <c r="G114" s="103"/>
      <c r="H114" s="103"/>
      <c r="I114" s="38"/>
      <c r="J114" s="37"/>
      <c r="K114" s="37"/>
      <c r="L114" s="37"/>
      <c r="M114" s="103" t="e">
        <f ca="1">IF(rngIsDate(HostBuild[CTO Acceptance]),"Y","N")</f>
        <v>#NAME?</v>
      </c>
      <c r="N114" s="123" t="s">
        <v>3</v>
      </c>
      <c r="O114" s="39"/>
      <c r="P114" s="39"/>
      <c r="Q114" s="123" t="s">
        <v>189</v>
      </c>
      <c r="R114" s="126" t="str">
        <f>IF(NOT(ISBLANK(HostBuild[Env Label])),IFERROR(VLOOKUP(HostBuild[Env Label],[1]!tEnv[#Data],3,FALSE),""),"")</f>
        <v/>
      </c>
      <c r="S114" s="104"/>
      <c r="T114" s="40"/>
      <c r="U114" s="105"/>
      <c r="V114" s="123" t="s">
        <v>28</v>
      </c>
      <c r="W114" s="123" t="s">
        <v>191</v>
      </c>
      <c r="X114" s="123" t="s">
        <v>99</v>
      </c>
      <c r="Y114" s="123" t="s">
        <v>188</v>
      </c>
      <c r="Z114" s="126" t="str">
        <f>IF(NOT(ISBLANK(HostBuild[[#This Row],[Product 
(Acronym)]])),CONCATENATE(HostBuild[[#This Row],[Type]],"-",HostBuild[[#This Row],[Product 
(Acronym)]]),"")</f>
        <v>DB-CBOL</v>
      </c>
      <c r="AA114" s="106"/>
      <c r="AB114" s="106" t="s">
        <v>76</v>
      </c>
      <c r="AC114" s="41"/>
      <c r="AD114" s="42"/>
      <c r="AE114" s="42"/>
      <c r="AF114" s="43"/>
      <c r="AG114" s="124"/>
      <c r="AH114" s="107"/>
      <c r="AI114" s="124" t="s">
        <v>29</v>
      </c>
      <c r="AJ114" s="123">
        <f>IF(COUNTIF(HostBuild[Alias],HostBuild[Alias]),1/COUNTIF(HostBuild[Alias],HostBuild[Alias]),0)</f>
        <v>1</v>
      </c>
      <c r="AK114" s="124"/>
      <c r="AL114" s="124"/>
      <c r="AM114" s="44" t="s">
        <v>62</v>
      </c>
      <c r="AN114" s="45" t="str">
        <f>IF(NOT(ISBLANK(HostBuild[Server Model])),VLOOKUP(HostBuild[Server Model],[1]!ServerModelsTier[#Data],2,FALSE),"")</f>
        <v>x86 Tier 3</v>
      </c>
      <c r="AO114" s="45" t="str">
        <f>IF(NOT(ISBLANK(HostBuild[Server Model])),VLOOKUP(HostBuild[Server Model],[1]!ServerModelsTier[#Data],5,FALSE),"")</f>
        <v>x86</v>
      </c>
      <c r="AP114" s="44"/>
      <c r="AQ114" s="44" t="s">
        <v>63</v>
      </c>
      <c r="AR114" s="46">
        <v>2</v>
      </c>
      <c r="AS114" s="108"/>
      <c r="AT114" s="47">
        <v>16</v>
      </c>
      <c r="AU114" s="109" t="str">
        <f>IF(IFERROR(FIND("P-Series",HostBuild[Server Tier]),0),CEILING((HostBuild[Existing CPUs]+HostBuild[CPU])*16,8),"")</f>
        <v/>
      </c>
      <c r="AV114" s="48">
        <v>128</v>
      </c>
      <c r="AW114" s="124"/>
      <c r="AX114" s="124"/>
      <c r="AY114" s="124"/>
      <c r="AZ114" s="49"/>
      <c r="BA114" s="124"/>
      <c r="BB114" s="124"/>
      <c r="BC114" s="42"/>
      <c r="BD114" s="124"/>
      <c r="BE114" s="124"/>
      <c r="BF114" s="124"/>
      <c r="BG114" s="124"/>
      <c r="BH114" s="124"/>
      <c r="BI114" s="124"/>
      <c r="BJ114" s="124"/>
      <c r="BK114"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4" s="127">
        <v>3200</v>
      </c>
      <c r="BM114" s="129">
        <f>IF(ISNUMBER(HostBuild[Recommended SAN (GB)]),HostBuild[Recommended SAN (GB)])+IF(HostBuild[Additional SAN (GB)]&gt;0,CEILING(HostBuild[Additional SAN (GB)],LUN),-(CEILING(-HostBuild[Additional SAN (GB)],LUN)))</f>
        <v>3403.7000000000003</v>
      </c>
      <c r="BN114" s="128"/>
      <c r="BO114" s="129">
        <f>HostBuild[SAN (GB)
NEEDED TODAY]+CEILING(HostBuild[SAN (GB)
RESERVED
DO NOT USE TO BUILD], LUN)</f>
        <v>3403.7000000000003</v>
      </c>
      <c r="BP114" s="130">
        <v>3000</v>
      </c>
      <c r="BQ114" s="131"/>
      <c r="BR114" s="125" t="s">
        <v>76</v>
      </c>
      <c r="BS114" s="110">
        <f>IF(HostBuild[Existing Server?]&lt;&gt;"Yes - Inside this BoM",IF(ISNUMBER(HostBuild[RAM 
(GB)]),IF(HostBuild[Existing RAM (GB)]+HostBuild[RAM 
(GB)]&gt;0,IF(HostBuild[Virtual Platform Storage Type]="NAS",110+HostBuild[Existing RAM (GB)]+HostBuild[RAM 
(GB)]*1.75,0),0),0),0)</f>
        <v>0</v>
      </c>
      <c r="BT114" s="111"/>
      <c r="BU114" s="112">
        <f>IF(ISNUMBER(HostBuild[Recommended NAS (GB)]),HostBuild[Recommended NAS (GB)])+HostBuild[Additional NAS (GB)]</f>
        <v>0</v>
      </c>
      <c r="BV114" s="50"/>
      <c r="BW114" s="50"/>
      <c r="BX114" s="133">
        <f>IFERROR((HostBuild[SAN (GB)
End-State
DO NOT USE TO BUILD]+HostBuild[SAN (GB) Shared])*25%,"")</f>
        <v>1600.9250000000002</v>
      </c>
      <c r="BY114" s="113">
        <f>IFERROR(HostBuild[Archive
Full (GB)]*15%,"")</f>
        <v>240.13875000000002</v>
      </c>
      <c r="BZ114" s="51"/>
      <c r="CA114" s="51"/>
      <c r="CB114" s="52"/>
      <c r="CC114" s="53"/>
      <c r="CD114" s="52"/>
      <c r="CE114" s="54"/>
      <c r="CF114" s="128"/>
      <c r="CG114" s="114"/>
      <c r="CH114" s="55"/>
      <c r="CI114" s="56"/>
      <c r="CJ114" s="57"/>
      <c r="CK114" s="58"/>
      <c r="CL114" s="59">
        <f>IFERROR(IF(FIND(CL$1,$W114)&gt;0,IF(INDEX([1]!Product_Pricing_Table[#Data],MATCH(CL$1,Products,0),2)="Cores",IF(HostBuild[Use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4" s="59">
        <f>IFERROR(IF(FIND(CM$1,$W114)&gt;0,IF(INDEX([1]!Product_Pricing_Table[#Data],MATCH(CM$1,Products,0),2)="Cores",IF(HostBuild[Use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4" s="59">
        <f>IFERROR(IF(FIND(CN$1,$W114)&gt;0,IF(INDEX([1]!Product_Pricing_Table[#Data],MATCH(CN$1,Products,0),2)="Cores",IF(HostBuild[Use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4" s="59">
        <f>IFERROR(IF(FIND(CO$1,$W114)&gt;0,IF(INDEX([1]!Product_Pricing_Table[#Data],MATCH(CO$1,Products,0),2)="Cores",IF(HostBuild[Use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4" s="59">
        <f>IFERROR(IF(FIND(CP$1,$W114)&gt;0,IF(INDEX([1]!Product_Pricing_Table[#Data],MATCH(CP$1,Products,0),2)="Cores",IF(HostBuild[Use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4" s="59">
        <f>IFERROR(IF(FIND(CQ$1,$W114)&gt;0,IF(INDEX([1]!Product_Pricing_Table[#Data],MATCH(CQ$1,Products,0),2)="Cores",IF(HostBuild[Use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4" s="59">
        <f>IFERROR(IF(FIND(CR$1,$W114)&gt;0,IF(INDEX([1]!Product_Pricing_Table[#Data],MATCH(CR$1,Products,0),2)="Cores",IF(HostBuild[Use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4" s="59">
        <f>IFERROR(IF(FIND(CS$1,$W114)&gt;0,IF(INDEX([1]!Product_Pricing_Table[#Data],MATCH(CS$1,Products,0),2)="Cores",IF(HostBuild[Use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4" s="59">
        <f>IFERROR(IF(FIND(CT$1,$W114)&gt;0,IF(INDEX([1]!Product_Pricing_Table[#Data],MATCH(CT$1,Products,0),2)="Cores",IF(HostBuild[Use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4" s="59">
        <f>IFERROR(IF(FIND(CU$1,$W114)&gt;0,IF(INDEX([1]!Product_Pricing_Table[#Data],MATCH(CU$1,Products,0),2)="Cores",IF(HostBuild[Use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4" s="59">
        <f>IFERROR(IF(FIND(CV$1,$W114)&gt;0,IF(INDEX([1]!Product_Pricing_Table[#Data],MATCH(CV$1,Products,0),2)="Cores",IF(HostBuild[Use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4" s="59">
        <f>IFERROR(IF(FIND(CW$1,$W114)&gt;0,IF(INDEX([1]!Product_Pricing_Table[#Data],MATCH(CW$1,Products,0),2)="Cores",IF(HostBuild[Use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4" s="59">
        <f>IFERROR(IF(FIND(CX$1,$W114)&gt;0,IF(INDEX([1]!Product_Pricing_Table[#Data],MATCH(CX$1,Products,0),2)="Cores",IF(HostBuild[Use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4" s="59">
        <f>IFERROR(IF(FIND(CY$1,$W114)&gt;0,IF(INDEX([1]!Product_Pricing_Table[#Data],MATCH(CY$1,Products,0),2)="Cores",IF(HostBuild[Use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4" s="59">
        <f>IFERROR(IF(FIND(CZ$1,$W114)&gt;0,IF(INDEX([1]!Product_Pricing_Table[#Data],MATCH(CZ$1,Products,0),2)="Cores",IF(HostBuild[Use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4" s="59">
        <f>IFERROR(IF(FIND(DA$1,$W114)&gt;0,IF(INDEX([1]!Product_Pricing_Table[#Data],MATCH(DA$1,Products,0),2)="Cores",IF(HostBuild[Use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4" s="59">
        <f>IFERROR(IF(FIND(DB$1,$W114)&gt;0,IF(INDEX([1]!Product_Pricing_Table[#Data],MATCH(DB$1,Products,0),2)="Cores",IF(HostBuild[Use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4" s="59">
        <f>IFERROR(IF(FIND(DC$1,$W114)&gt;0,IF(INDEX([1]!Product_Pricing_Table[#Data],MATCH(DC$1,Products,0),2)="Cores",IF(HostBuild[Use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4" s="59">
        <f>IFERROR(IF(FIND(DD$1,$W114)&gt;0,IF(INDEX([1]!Product_Pricing_Table[#Data],MATCH(DD$1,Products,0),2)="Cores",IF(HostBuild[Use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4" s="59">
        <f>IFERROR(IF(FIND(DE$1,$W114)&gt;0,IF(INDEX([1]!Product_Pricing_Table[#Data],MATCH(DE$1,Products,0),2)="Cores",IF(HostBuild[Use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4" s="60">
        <f>IFERROR(IF(FIND(DF$1,$W114)&gt;0,IF(INDEX([1]!Product_Pricing_Table[#Data],MATCH(DF$1,Products,0),2)="Cores",IF(HostBuild[Use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4" s="60">
        <f>IFERROR(IF(FIND(DG$1,$W114)&gt;0,IF(INDEX([1]!Product_Pricing_Table[#Data],MATCH(DG$1,Products,0),2)="Cores",IF(HostBuild[Use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4" s="59">
        <f>IFERROR(IF(FIND(DH$1,$W114)&gt;0,IF(INDEX([1]!Product_Pricing_Table[#Data],MATCH(DH$1,Products,0),2)="Cores",IF(HostBuild[Use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4" s="60">
        <f>IFERROR(IF(FIND(DI$1,$W114)&gt;0,IF(INDEX([1]!Product_Pricing_Table[#Data],MATCH(DI$1,Products,0),2)="Cores",IF(HostBuild[Use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4" s="59">
        <f>IFERROR(IF(FIND(DJ$1,$W114)&gt;0,IF(INDEX([1]!Product_Pricing_Table[#Data],MATCH(DJ$1,Products,0),2)="Cores",IF(HostBuild[Use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4" s="59">
        <f>IFERROR(IF(FIND(DK$1,$W114)&gt;0,IF(INDEX([1]!Product_Pricing_Table[#Data],MATCH(DK$1,Products,0),2)="Cores",IF(HostBuild[Use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4" s="59">
        <f>IFERROR(IF(FIND(DL$1,$W114)&gt;0,IF(INDEX([1]!Product_Pricing_Table[#Data],MATCH(DL$1,Products,0),2)="Cores",IF(HostBuild[Use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4" s="59">
        <f>IFERROR(IF(FIND(DM$1,$W114)&gt;0,IF(INDEX([1]!Product_Pricing_Table[#Data],MATCH(DM$1,Products,0),2)="Cores",IF(HostBuild[Use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4" s="59">
        <f>IFERROR(IF(FIND(DN$1,$W114)&gt;0,IF(INDEX([1]!Product_Pricing_Table[#Data],MATCH(DN$1,Products,0),2)="Cores",IF(HostBuild[Use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4" s="59">
        <f>IFERROR(IF(FIND(DO$1,$W114)&gt;0,IF(INDEX([1]!Product_Pricing_Table[#Data],MATCH(DO$1,Products,0),2)="Cores",IF(HostBuild[Use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4" s="59">
        <f>IFERROR(IF(FIND(DP$1,$W114)&gt;0,IF(INDEX([1]!Product_Pricing_Table[#Data],MATCH(DP$1,Products,0),2)="Cores",IF(HostBuild[Use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4" s="59">
        <f>IFERROR(IF(FIND(DQ$1,$W114)&gt;0,IF(INDEX([1]!Product_Pricing_Table[#Data],MATCH(DQ$1,Products,0),2)="Cores",IF(HostBuild[Use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4" s="59">
        <f>IFERROR(IF(FIND(DR$1,$W114)&gt;0,IF(INDEX([1]!Product_Pricing_Table[#Data],MATCH(DR$1,Products,0),2)="Cores",IF(HostBuild[Use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4" s="59">
        <f>IFERROR(IF(FIND(DS$1,$W114)&gt;0,IF(INDEX([1]!Product_Pricing_Table[#Data],MATCH(DS$1,Products,0),2)="Cores",IF(HostBuild[Use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4" s="59">
        <f>IFERROR(IF(FIND(DT$1,$W114)&gt;0,IF(INDEX([1]!Product_Pricing_Table[#Data],MATCH(DT$1,Products,0),2)="Cores",IF(HostBuild[Use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4" s="59">
        <f>IFERROR(IF(FIND(DU$1,$W114)&gt;0,IF(INDEX([1]!Product_Pricing_Table[#Data],MATCH(DU$1,Products,0),2)="Cores",IF(HostBuild[Use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4" s="59">
        <f>IFERROR(IF(FIND(DV$1,$W114)&gt;0,IF(INDEX([1]!Product_Pricing_Table[#Data],MATCH(DV$1,Products,0),2)="Cores",IF(HostBuild[Use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14" s="59">
        <f>IFERROR(IF(FIND(DW$1,$W114)&gt;0,IF(INDEX([1]!Product_Pricing_Table[#Data],MATCH(DW$1,Products,0),2)="Cores",IF(HostBuild[Use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4" s="59">
        <f>IFERROR(IF(FIND(DX$1,$W114)&gt;0,IF(INDEX([1]!Product_Pricing_Table[#Data],MATCH(DX$1,Products,0),2)="Cores",IF(HostBuild[Use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4" s="59">
        <f>IFERROR(IF(FIND(DY$1,$W114)&gt;0,IF(INDEX([1]!Product_Pricing_Table[#Data],MATCH(DY$1,Products,0),2)="Cores",IF(HostBuild[Use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4" s="59">
        <f>IFERROR(IF(FIND(DZ$1,$W114)&gt;0,IF(INDEX([1]!Product_Pricing_Table[#Data],MATCH(DZ$1,Products,0),2)="Cores",IF(HostBuild[Use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4" s="59">
        <f>IFERROR(IF(FIND(EA$1,$W114)&gt;0,IF(INDEX([1]!Product_Pricing_Table[#Data],MATCH(EA$1,Products,0),2)="Cores",IF(HostBuild[Use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4" s="59">
        <f>IFERROR(IF(FIND(EB$1,$W114)&gt;0,IF(INDEX([1]!Product_Pricing_Table[#Data],MATCH(EB$1,Products,0),2)="Cores",IF(HostBuild[Use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4" s="60">
        <f>IFERROR(IF(FIND(EC$1,$W114)&gt;0,IF(INDEX([1]!Product_Pricing_Table[#Data],MATCH(EC$1,Products,0),2)="Cores",IF(HostBuild[Use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4" s="59">
        <f>IFERROR(IF(FIND(ED$1,$W114)&gt;0,IF(INDEX([1]!Product_Pricing_Table[#Data],MATCH(ED$1,Products,0),2)="Cores",IF(HostBuild[Use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4" s="59">
        <f>IFERROR(IF(FIND(EE$1,$W114)&gt;0,IF(INDEX([1]!Product_Pricing_Table[#Data],MATCH(EE$1,Products,0),2)="Cores",IF(HostBuild[Use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4" s="59">
        <f>IFERROR(IF(FIND(EF$1,$W114)&gt;0,IF(INDEX([1]!Product_Pricing_Table[#Data],MATCH(EF$1,Products,0),2)="Cores",IF(HostBuild[Use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4" s="59">
        <f>IFERROR(IF(FIND(EG$1,$W114)&gt;0,IF(INDEX([1]!Product_Pricing_Table[#Data],MATCH(EG$1,Products,0),2)="Cores",IF(HostBuild[Use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4" s="59">
        <f>IFERROR(IF(FIND(EH$1,$W114)&gt;0,IF(INDEX([1]!Product_Pricing_Table[#Data],MATCH(EH$1,Products,0),2)="Cores",IF(HostBuild[Use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4" s="59">
        <f>IFERROR(IF(FIND(EI$1,$W114)&gt;0,IF(INDEX([1]!Product_Pricing_Table[#Data],MATCH(EI$1,Products,0),2)="Cores",IF(HostBuild[Use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4" s="59">
        <f>IFERROR(IF(FIND(EJ$1,$W114)&gt;0,IF(INDEX([1]!Product_Pricing_Table[#Data],MATCH(EJ$1,Products,0),2)="Cores",IF(HostBuild[Use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4" s="60">
        <f>IFERROR(IF(FIND(EK$1,$W114)&gt;0,IF(INDEX([1]!Product_Pricing_Table[#Data],MATCH(EK$1,Products,0),2)="Cores",IF(HostBuild[Use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4" s="61"/>
      <c r="EM114" s="62">
        <v>898.26250000000005</v>
      </c>
      <c r="EN114" s="63">
        <v>157.28333333333333</v>
      </c>
      <c r="EO114"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4564.6650000000009</v>
      </c>
      <c r="EQ114" s="132">
        <f>(HostBuild[Archive
Full (GB)]+HostBuild[Archive
Incr (GB)])*Storage_DC_Dist_Tape_2014</f>
        <v>644.37231250000002</v>
      </c>
      <c r="ER114" s="132">
        <f>IF(ISNUMBER(HostBuild[Server HW Costs
(Monthly)]),SUM(HostBuild[[#This Row],[Server HW Costs
(Monthly)]:[Tape Costs
(Monthly)]]),0)</f>
        <v>6097.7373125000004</v>
      </c>
      <c r="ES114" s="65">
        <f>HostBuild[Software Costs
'[Year 1']
(Monthly)]+HostBuild[Total Hardware Costs
(Monthly)]</f>
        <v>6995.9998125000002</v>
      </c>
      <c r="ET114" s="65">
        <f>IFERROR(IF(FIND("Safenet",HostBuild[Server Model]),Safenet_PSE_PL600_Maint,0),0)+IFERROR(IF(FIND("XI52",HostBuild[Server Model]),IBM_DIA_XI52_Maint,0),0)+HostBuild[Software Costs
'[After Year 1']
(Monthly)]+HostBuild[Total Hardware Costs
(Monthly)]</f>
        <v>6255.0206458333341</v>
      </c>
      <c r="EU114" s="66">
        <f>SUM(HostBuild[[#This Row],[Server Cost Breakdown]:[Network Cost]])</f>
        <v>888.7</v>
      </c>
      <c r="EV114" s="67">
        <f>IF(HostBuild[Existing Server?]="Yes - Inside this BoM",0,SUMIF(HostBuild[Alias],HostBuild[Alias],HostBuild[CPU])+SUMIF(HostBuild[Alias],HostBuild[Alias],HostBuild[Existing CPUs]))</f>
        <v>2</v>
      </c>
      <c r="EW114" s="67">
        <f>IF(HostBuild[Existing Server?]="Yes - Inside this BoM",0,SUMIF(HostBuild[Alias],HostBuild[Alias],HostBuild[Cores 
(Licensed Units)])+SUMIF(HostBuild[Alias],HostBuild[Alias],HostBuild[Existing Cores]))</f>
        <v>16</v>
      </c>
      <c r="EX114" s="67">
        <f>IF(HostBuild[Existing Server?]="Yes - Inside this BoM",0,SUMIF(HostBuild[Alias],HostBuild[Alias],HostBuild[RAM 
(GB)])+SUMIF(HostBuild[Alias],HostBuild[Alias],HostBuild[Existing RAM (GB)]))</f>
        <v>128</v>
      </c>
      <c r="EY11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4" s="66">
        <f>IF(ISBLANK(HostBuild[Server Model]),0,IF(HostBuild[Server Tier]="VMware",0,VLOOKUP(HostBuild[Server Tier],[1]!ServerTierRates[#Data],2,0))*HostBuild[CPU]*IF(AND(HostBuild[Server Type]="pSeries",HostBuild[Virtual Platform Storage Type]="Cloud-SAN"),0.25,1))</f>
        <v>608</v>
      </c>
      <c r="FD114" s="66">
        <f>0</f>
        <v>0</v>
      </c>
      <c r="FE114" s="66">
        <f>IF(HostBuild[Server Type]="VMware",HostBuild[RAM 
(GB)]*IF(ISERROR(FIND("DevCloud", HostBuild[Server Model])&gt;0),vRAM_per_vCPU_2014_Monthly,vRAM_per_vCPU_2014_Daily*30),0)</f>
        <v>0</v>
      </c>
      <c r="FF11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4" s="69">
        <f>IF(HostBuild[Server Tier]="VMware",0,IF(LEFT(HostBuild[Existing Server?],3)="Yes",0,IF(OR(HostBuild[Server Type]="Sun",HostBuild[Server Type]="pSeries"),Support_Direct_Server_Sun_per_OS_2014,IF(HostBuild[Server Type]="x86",Support_Direct_Server_x86_Wintel_per_OS_2014,0))))</f>
        <v>187.1</v>
      </c>
      <c r="FI11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5" spans="1:165" hidden="1">
      <c r="A115" s="122" t="s">
        <v>53</v>
      </c>
      <c r="B115" s="36"/>
      <c r="C115" s="36"/>
      <c r="D115" s="36"/>
      <c r="E115" s="37"/>
      <c r="F115" s="37"/>
      <c r="G115" s="103"/>
      <c r="H115" s="103"/>
      <c r="I115" s="38"/>
      <c r="J115" s="37"/>
      <c r="K115" s="37"/>
      <c r="L115" s="37"/>
      <c r="M115" s="103" t="e">
        <f ca="1">IF(rngIsDate(HostBuild[CTO Acceptance]),"Y","N")</f>
        <v>#NAME?</v>
      </c>
      <c r="N115" s="123" t="s">
        <v>3</v>
      </c>
      <c r="O115" s="39"/>
      <c r="P115" s="39"/>
      <c r="Q115" s="123" t="s">
        <v>189</v>
      </c>
      <c r="R115" s="126" t="str">
        <f>IF(NOT(ISBLANK(HostBuild[Env Label])),IFERROR(VLOOKUP(HostBuild[Env Label],[1]!tEnv[#Data],3,FALSE),""),"")</f>
        <v/>
      </c>
      <c r="S115" s="104"/>
      <c r="T115" s="40"/>
      <c r="U115" s="105"/>
      <c r="V115" s="123" t="s">
        <v>28</v>
      </c>
      <c r="W115" s="123" t="s">
        <v>191</v>
      </c>
      <c r="X115" s="123" t="s">
        <v>99</v>
      </c>
      <c r="Y115" s="123" t="s">
        <v>188</v>
      </c>
      <c r="Z115" s="126" t="str">
        <f>IF(NOT(ISBLANK(HostBuild[[#This Row],[Product 
(Acronym)]])),CONCATENATE(HostBuild[[#This Row],[Type]],"-",HostBuild[[#This Row],[Product 
(Acronym)]]),"")</f>
        <v>DB-CBOL</v>
      </c>
      <c r="AA115" s="106"/>
      <c r="AB115" s="106" t="s">
        <v>76</v>
      </c>
      <c r="AC115" s="41"/>
      <c r="AD115" s="42"/>
      <c r="AE115" s="42"/>
      <c r="AF115" s="43"/>
      <c r="AG115" s="124"/>
      <c r="AH115" s="107"/>
      <c r="AI115" s="124" t="s">
        <v>30</v>
      </c>
      <c r="AJ115" s="123">
        <f>IF(COUNTIF(HostBuild[Alias],HostBuild[Alias]),1/COUNTIF(HostBuild[Alias],HostBuild[Alias]),0)</f>
        <v>1</v>
      </c>
      <c r="AK115" s="124"/>
      <c r="AL115" s="124"/>
      <c r="AM115" s="44" t="s">
        <v>62</v>
      </c>
      <c r="AN115" s="45" t="str">
        <f>IF(NOT(ISBLANK(HostBuild[Server Model])),VLOOKUP(HostBuild[Server Model],[1]!ServerModelsTier[#Data],2,FALSE),"")</f>
        <v>x86 Tier 3</v>
      </c>
      <c r="AO115" s="45" t="str">
        <f>IF(NOT(ISBLANK(HostBuild[Server Model])),VLOOKUP(HostBuild[Server Model],[1]!ServerModelsTier[#Data],5,FALSE),"")</f>
        <v>x86</v>
      </c>
      <c r="AP115" s="44"/>
      <c r="AQ115" s="44" t="s">
        <v>63</v>
      </c>
      <c r="AR115" s="46">
        <v>2</v>
      </c>
      <c r="AS115" s="108"/>
      <c r="AT115" s="47">
        <v>16</v>
      </c>
      <c r="AU115" s="109" t="str">
        <f>IF(IFERROR(FIND("P-Series",HostBuild[Server Tier]),0),CEILING((HostBuild[Existing CPUs]+HostBuild[CPU])*16,8),"")</f>
        <v/>
      </c>
      <c r="AV115" s="48">
        <v>128</v>
      </c>
      <c r="AW115" s="124"/>
      <c r="AX115" s="124"/>
      <c r="AY115" s="124"/>
      <c r="AZ115" s="49"/>
      <c r="BA115" s="124"/>
      <c r="BB115" s="124"/>
      <c r="BC115" s="42"/>
      <c r="BD115" s="124"/>
      <c r="BE115" s="124"/>
      <c r="BF115" s="124"/>
      <c r="BG115" s="124"/>
      <c r="BH115" s="124"/>
      <c r="BI115" s="124"/>
      <c r="BJ115" s="124"/>
      <c r="BK115"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5" s="127">
        <v>200</v>
      </c>
      <c r="BM115" s="129">
        <f>IF(ISNUMBER(HostBuild[Recommended SAN (GB)]),HostBuild[Recommended SAN (GB)])+IF(HostBuild[Additional SAN (GB)]&gt;0,CEILING(HostBuild[Additional SAN (GB)],LUN),-(CEILING(-HostBuild[Additional SAN (GB)],LUN)))</f>
        <v>404.40000000000003</v>
      </c>
      <c r="BN115" s="128"/>
      <c r="BO115" s="129">
        <f>HostBuild[SAN (GB)
NEEDED TODAY]+CEILING(HostBuild[SAN (GB)
RESERVED
DO NOT USE TO BUILD], LUN)</f>
        <v>404.40000000000003</v>
      </c>
      <c r="BP115" s="130"/>
      <c r="BQ115" s="131"/>
      <c r="BR115" s="125" t="s">
        <v>76</v>
      </c>
      <c r="BS115" s="110">
        <f>IF(HostBuild[Existing Server?]&lt;&gt;"Yes - Inside this BoM",IF(ISNUMBER(HostBuild[RAM 
(GB)]),IF(HostBuild[Existing RAM (GB)]+HostBuild[RAM 
(GB)]&gt;0,IF(HostBuild[Virtual Platform Storage Type]="NAS",110+HostBuild[Existing RAM (GB)]+HostBuild[RAM 
(GB)]*1.75,0),0),0),0)</f>
        <v>0</v>
      </c>
      <c r="BT115" s="111"/>
      <c r="BU115" s="112">
        <f>IF(ISNUMBER(HostBuild[Recommended NAS (GB)]),HostBuild[Recommended NAS (GB)])+HostBuild[Additional NAS (GB)]</f>
        <v>0</v>
      </c>
      <c r="BV115" s="50"/>
      <c r="BW115" s="50"/>
      <c r="BX115" s="133">
        <f>IFERROR((HostBuild[SAN (GB)
End-State
DO NOT USE TO BUILD]+HostBuild[SAN (GB) Shared])*25%,"")</f>
        <v>101.10000000000001</v>
      </c>
      <c r="BY115" s="113">
        <f>IFERROR(HostBuild[Archive
Full (GB)]*15%,"")</f>
        <v>15.165000000000001</v>
      </c>
      <c r="BZ115" s="51"/>
      <c r="CA115" s="51"/>
      <c r="CB115" s="52"/>
      <c r="CC115" s="53"/>
      <c r="CD115" s="52"/>
      <c r="CE115" s="54"/>
      <c r="CF115" s="128"/>
      <c r="CG115" s="114"/>
      <c r="CH115" s="55"/>
      <c r="CI115" s="56"/>
      <c r="CJ115" s="57"/>
      <c r="CK115" s="58"/>
      <c r="CL115" s="59">
        <f>IFERROR(IF(FIND(CL$1,$W115)&gt;0,IF(INDEX([1]!Product_Pricing_Table[#Data],MATCH(CL$1,Products,0),2)="Cores",IF(HostBuild[Use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5" s="59">
        <f>IFERROR(IF(FIND(CM$1,$W115)&gt;0,IF(INDEX([1]!Product_Pricing_Table[#Data],MATCH(CM$1,Products,0),2)="Cores",IF(HostBuild[Use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5" s="59">
        <f>IFERROR(IF(FIND(CN$1,$W115)&gt;0,IF(INDEX([1]!Product_Pricing_Table[#Data],MATCH(CN$1,Products,0),2)="Cores",IF(HostBuild[Use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5" s="59">
        <f>IFERROR(IF(FIND(CO$1,$W115)&gt;0,IF(INDEX([1]!Product_Pricing_Table[#Data],MATCH(CO$1,Products,0),2)="Cores",IF(HostBuild[Use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5" s="59">
        <f>IFERROR(IF(FIND(CP$1,$W115)&gt;0,IF(INDEX([1]!Product_Pricing_Table[#Data],MATCH(CP$1,Products,0),2)="Cores",IF(HostBuild[Use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5" s="59">
        <f>IFERROR(IF(FIND(CQ$1,$W115)&gt;0,IF(INDEX([1]!Product_Pricing_Table[#Data],MATCH(CQ$1,Products,0),2)="Cores",IF(HostBuild[Use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5" s="59">
        <f>IFERROR(IF(FIND(CR$1,$W115)&gt;0,IF(INDEX([1]!Product_Pricing_Table[#Data],MATCH(CR$1,Products,0),2)="Cores",IF(HostBuild[Use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5" s="59">
        <f>IFERROR(IF(FIND(CS$1,$W115)&gt;0,IF(INDEX([1]!Product_Pricing_Table[#Data],MATCH(CS$1,Products,0),2)="Cores",IF(HostBuild[Use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5" s="59">
        <f>IFERROR(IF(FIND(CT$1,$W115)&gt;0,IF(INDEX([1]!Product_Pricing_Table[#Data],MATCH(CT$1,Products,0),2)="Cores",IF(HostBuild[Use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5" s="59">
        <f>IFERROR(IF(FIND(CU$1,$W115)&gt;0,IF(INDEX([1]!Product_Pricing_Table[#Data],MATCH(CU$1,Products,0),2)="Cores",IF(HostBuild[Use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5" s="59">
        <f>IFERROR(IF(FIND(CV$1,$W115)&gt;0,IF(INDEX([1]!Product_Pricing_Table[#Data],MATCH(CV$1,Products,0),2)="Cores",IF(HostBuild[Use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5" s="59">
        <f>IFERROR(IF(FIND(CW$1,$W115)&gt;0,IF(INDEX([1]!Product_Pricing_Table[#Data],MATCH(CW$1,Products,0),2)="Cores",IF(HostBuild[Use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5" s="59">
        <f>IFERROR(IF(FIND(CX$1,$W115)&gt;0,IF(INDEX([1]!Product_Pricing_Table[#Data],MATCH(CX$1,Products,0),2)="Cores",IF(HostBuild[Use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5" s="59">
        <f>IFERROR(IF(FIND(CY$1,$W115)&gt;0,IF(INDEX([1]!Product_Pricing_Table[#Data],MATCH(CY$1,Products,0),2)="Cores",IF(HostBuild[Use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5" s="59">
        <f>IFERROR(IF(FIND(CZ$1,$W115)&gt;0,IF(INDEX([1]!Product_Pricing_Table[#Data],MATCH(CZ$1,Products,0),2)="Cores",IF(HostBuild[Use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5" s="59">
        <f>IFERROR(IF(FIND(DA$1,$W115)&gt;0,IF(INDEX([1]!Product_Pricing_Table[#Data],MATCH(DA$1,Products,0),2)="Cores",IF(HostBuild[Use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5" s="59">
        <f>IFERROR(IF(FIND(DB$1,$W115)&gt;0,IF(INDEX([1]!Product_Pricing_Table[#Data],MATCH(DB$1,Products,0),2)="Cores",IF(HostBuild[Use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5" s="59">
        <f>IFERROR(IF(FIND(DC$1,$W115)&gt;0,IF(INDEX([1]!Product_Pricing_Table[#Data],MATCH(DC$1,Products,0),2)="Cores",IF(HostBuild[Use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5" s="59">
        <f>IFERROR(IF(FIND(DD$1,$W115)&gt;0,IF(INDEX([1]!Product_Pricing_Table[#Data],MATCH(DD$1,Products,0),2)="Cores",IF(HostBuild[Use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5" s="59">
        <f>IFERROR(IF(FIND(DE$1,$W115)&gt;0,IF(INDEX([1]!Product_Pricing_Table[#Data],MATCH(DE$1,Products,0),2)="Cores",IF(HostBuild[Use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5" s="60">
        <f>IFERROR(IF(FIND(DF$1,$W115)&gt;0,IF(INDEX([1]!Product_Pricing_Table[#Data],MATCH(DF$1,Products,0),2)="Cores",IF(HostBuild[Use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5" s="60">
        <f>IFERROR(IF(FIND(DG$1,$W115)&gt;0,IF(INDEX([1]!Product_Pricing_Table[#Data],MATCH(DG$1,Products,0),2)="Cores",IF(HostBuild[Use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5" s="59">
        <f>IFERROR(IF(FIND(DH$1,$W115)&gt;0,IF(INDEX([1]!Product_Pricing_Table[#Data],MATCH(DH$1,Products,0),2)="Cores",IF(HostBuild[Use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5" s="60">
        <f>IFERROR(IF(FIND(DI$1,$W115)&gt;0,IF(INDEX([1]!Product_Pricing_Table[#Data],MATCH(DI$1,Products,0),2)="Cores",IF(HostBuild[Use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5" s="59">
        <f>IFERROR(IF(FIND(DJ$1,$W115)&gt;0,IF(INDEX([1]!Product_Pricing_Table[#Data],MATCH(DJ$1,Products,0),2)="Cores",IF(HostBuild[Use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5" s="59">
        <f>IFERROR(IF(FIND(DK$1,$W115)&gt;0,IF(INDEX([1]!Product_Pricing_Table[#Data],MATCH(DK$1,Products,0),2)="Cores",IF(HostBuild[Use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5" s="59">
        <f>IFERROR(IF(FIND(DL$1,$W115)&gt;0,IF(INDEX([1]!Product_Pricing_Table[#Data],MATCH(DL$1,Products,0),2)="Cores",IF(HostBuild[Use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5" s="59">
        <f>IFERROR(IF(FIND(DM$1,$W115)&gt;0,IF(INDEX([1]!Product_Pricing_Table[#Data],MATCH(DM$1,Products,0),2)="Cores",IF(HostBuild[Use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5" s="59">
        <f>IFERROR(IF(FIND(DN$1,$W115)&gt;0,IF(INDEX([1]!Product_Pricing_Table[#Data],MATCH(DN$1,Products,0),2)="Cores",IF(HostBuild[Use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5" s="59">
        <f>IFERROR(IF(FIND(DO$1,$W115)&gt;0,IF(INDEX([1]!Product_Pricing_Table[#Data],MATCH(DO$1,Products,0),2)="Cores",IF(HostBuild[Use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5" s="59">
        <f>IFERROR(IF(FIND(DP$1,$W115)&gt;0,IF(INDEX([1]!Product_Pricing_Table[#Data],MATCH(DP$1,Products,0),2)="Cores",IF(HostBuild[Use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5" s="59">
        <f>IFERROR(IF(FIND(DQ$1,$W115)&gt;0,IF(INDEX([1]!Product_Pricing_Table[#Data],MATCH(DQ$1,Products,0),2)="Cores",IF(HostBuild[Use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5" s="59">
        <f>IFERROR(IF(FIND(DR$1,$W115)&gt;0,IF(INDEX([1]!Product_Pricing_Table[#Data],MATCH(DR$1,Products,0),2)="Cores",IF(HostBuild[Use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5" s="59">
        <f>IFERROR(IF(FIND(DS$1,$W115)&gt;0,IF(INDEX([1]!Product_Pricing_Table[#Data],MATCH(DS$1,Products,0),2)="Cores",IF(HostBuild[Use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5" s="59">
        <f>IFERROR(IF(FIND(DT$1,$W115)&gt;0,IF(INDEX([1]!Product_Pricing_Table[#Data],MATCH(DT$1,Products,0),2)="Cores",IF(HostBuild[Use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5" s="59">
        <f>IFERROR(IF(FIND(DU$1,$W115)&gt;0,IF(INDEX([1]!Product_Pricing_Table[#Data],MATCH(DU$1,Products,0),2)="Cores",IF(HostBuild[Use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5" s="59">
        <f>IFERROR(IF(FIND(DV$1,$W115)&gt;0,IF(INDEX([1]!Product_Pricing_Table[#Data],MATCH(DV$1,Products,0),2)="Cores",IF(HostBuild[Use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15" s="59">
        <f>IFERROR(IF(FIND(DW$1,$W115)&gt;0,IF(INDEX([1]!Product_Pricing_Table[#Data],MATCH(DW$1,Products,0),2)="Cores",IF(HostBuild[Use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5" s="59">
        <f>IFERROR(IF(FIND(DX$1,$W115)&gt;0,IF(INDEX([1]!Product_Pricing_Table[#Data],MATCH(DX$1,Products,0),2)="Cores",IF(HostBuild[Use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5" s="59">
        <f>IFERROR(IF(FIND(DY$1,$W115)&gt;0,IF(INDEX([1]!Product_Pricing_Table[#Data],MATCH(DY$1,Products,0),2)="Cores",IF(HostBuild[Use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5" s="59">
        <f>IFERROR(IF(FIND(DZ$1,$W115)&gt;0,IF(INDEX([1]!Product_Pricing_Table[#Data],MATCH(DZ$1,Products,0),2)="Cores",IF(HostBuild[Use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5" s="59">
        <f>IFERROR(IF(FIND(EA$1,$W115)&gt;0,IF(INDEX([1]!Product_Pricing_Table[#Data],MATCH(EA$1,Products,0),2)="Cores",IF(HostBuild[Use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5" s="59">
        <f>IFERROR(IF(FIND(EB$1,$W115)&gt;0,IF(INDEX([1]!Product_Pricing_Table[#Data],MATCH(EB$1,Products,0),2)="Cores",IF(HostBuild[Use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5" s="60">
        <f>IFERROR(IF(FIND(EC$1,$W115)&gt;0,IF(INDEX([1]!Product_Pricing_Table[#Data],MATCH(EC$1,Products,0),2)="Cores",IF(HostBuild[Use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5" s="59">
        <f>IFERROR(IF(FIND(ED$1,$W115)&gt;0,IF(INDEX([1]!Product_Pricing_Table[#Data],MATCH(ED$1,Products,0),2)="Cores",IF(HostBuild[Use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5" s="59">
        <f>IFERROR(IF(FIND(EE$1,$W115)&gt;0,IF(INDEX([1]!Product_Pricing_Table[#Data],MATCH(EE$1,Products,0),2)="Cores",IF(HostBuild[Use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5" s="59">
        <f>IFERROR(IF(FIND(EF$1,$W115)&gt;0,IF(INDEX([1]!Product_Pricing_Table[#Data],MATCH(EF$1,Products,0),2)="Cores",IF(HostBuild[Use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5" s="59">
        <f>IFERROR(IF(FIND(EG$1,$W115)&gt;0,IF(INDEX([1]!Product_Pricing_Table[#Data],MATCH(EG$1,Products,0),2)="Cores",IF(HostBuild[Use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5" s="59">
        <f>IFERROR(IF(FIND(EH$1,$W115)&gt;0,IF(INDEX([1]!Product_Pricing_Table[#Data],MATCH(EH$1,Products,0),2)="Cores",IF(HostBuild[Use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5" s="59">
        <f>IFERROR(IF(FIND(EI$1,$W115)&gt;0,IF(INDEX([1]!Product_Pricing_Table[#Data],MATCH(EI$1,Products,0),2)="Cores",IF(HostBuild[Use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5" s="59">
        <f>IFERROR(IF(FIND(EJ$1,$W115)&gt;0,IF(INDEX([1]!Product_Pricing_Table[#Data],MATCH(EJ$1,Products,0),2)="Cores",IF(HostBuild[Use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5" s="60">
        <f>IFERROR(IF(FIND(EK$1,$W115)&gt;0,IF(INDEX([1]!Product_Pricing_Table[#Data],MATCH(EK$1,Products,0),2)="Cores",IF(HostBuild[Use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5" s="61"/>
      <c r="EM115" s="62">
        <v>898.26250000000005</v>
      </c>
      <c r="EN115" s="63">
        <v>157.28333333333333</v>
      </c>
      <c r="EO115"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181.98000000000002</v>
      </c>
      <c r="EQ115" s="132">
        <f>(HostBuild[Archive
Full (GB)]+HostBuild[Archive
Incr (GB)])*Storage_DC_Dist_Tape_2014</f>
        <v>40.692750000000004</v>
      </c>
      <c r="ER115" s="132">
        <f>IF(ISNUMBER(HostBuild[Server HW Costs
(Monthly)]),SUM(HostBuild[[#This Row],[Server HW Costs
(Monthly)]:[Tape Costs
(Monthly)]]),0)</f>
        <v>1111.37275</v>
      </c>
      <c r="ES115" s="65">
        <f>HostBuild[Software Costs
'[Year 1']
(Monthly)]+HostBuild[Total Hardware Costs
(Monthly)]</f>
        <v>2009.63525</v>
      </c>
      <c r="ET115" s="65">
        <f>IFERROR(IF(FIND("Safenet",HostBuild[Server Model]),Safenet_PSE_PL600_Maint,0),0)+IFERROR(IF(FIND("XI52",HostBuild[Server Model]),IBM_DIA_XI52_Maint,0),0)+HostBuild[Software Costs
'[After Year 1']
(Monthly)]+HostBuild[Total Hardware Costs
(Monthly)]</f>
        <v>1268.6560833333333</v>
      </c>
      <c r="EU115" s="66">
        <f>SUM(HostBuild[[#This Row],[Server Cost Breakdown]:[Network Cost]])</f>
        <v>888.7</v>
      </c>
      <c r="EV115" s="67">
        <f>IF(HostBuild[Existing Server?]="Yes - Inside this BoM",0,SUMIF(HostBuild[Alias],HostBuild[Alias],HostBuild[CPU])+SUMIF(HostBuild[Alias],HostBuild[Alias],HostBuild[Existing CPUs]))</f>
        <v>2</v>
      </c>
      <c r="EW115" s="67">
        <f>IF(HostBuild[Existing Server?]="Yes - Inside this BoM",0,SUMIF(HostBuild[Alias],HostBuild[Alias],HostBuild[Cores 
(Licensed Units)])+SUMIF(HostBuild[Alias],HostBuild[Alias],HostBuild[Existing Cores]))</f>
        <v>16</v>
      </c>
      <c r="EX115" s="67">
        <f>IF(HostBuild[Existing Server?]="Yes - Inside this BoM",0,SUMIF(HostBuild[Alias],HostBuild[Alias],HostBuild[RAM 
(GB)])+SUMIF(HostBuild[Alias],HostBuild[Alias],HostBuild[Existing RAM (GB)]))</f>
        <v>128</v>
      </c>
      <c r="EY11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5" s="66">
        <f>IF(ISBLANK(HostBuild[Server Model]),0,IF(HostBuild[Server Tier]="VMware",0,VLOOKUP(HostBuild[Server Tier],[1]!ServerTierRates[#Data],2,0))*HostBuild[CPU]*IF(AND(HostBuild[Server Type]="pSeries",HostBuild[Virtual Platform Storage Type]="Cloud-SAN"),0.25,1))</f>
        <v>608</v>
      </c>
      <c r="FD115" s="66">
        <f>0</f>
        <v>0</v>
      </c>
      <c r="FE115" s="66">
        <f>IF(HostBuild[Server Type]="VMware",HostBuild[RAM 
(GB)]*IF(ISERROR(FIND("DevCloud", HostBuild[Server Model])&gt;0),vRAM_per_vCPU_2014_Monthly,vRAM_per_vCPU_2014_Daily*30),0)</f>
        <v>0</v>
      </c>
      <c r="FF11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5" s="69">
        <f>IF(HostBuild[Server Tier]="VMware",0,IF(LEFT(HostBuild[Existing Server?],3)="Yes",0,IF(OR(HostBuild[Server Type]="Sun",HostBuild[Server Type]="pSeries"),Support_Direct_Server_Sun_per_OS_2014,IF(HostBuild[Server Type]="x86",Support_Direct_Server_x86_Wintel_per_OS_2014,0))))</f>
        <v>187.1</v>
      </c>
      <c r="FI11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6" spans="1:165" hidden="1">
      <c r="A116" s="122" t="s">
        <v>53</v>
      </c>
      <c r="B116" s="36"/>
      <c r="C116" s="36"/>
      <c r="D116" s="36"/>
      <c r="E116" s="37"/>
      <c r="F116" s="37"/>
      <c r="G116" s="103"/>
      <c r="H116" s="103"/>
      <c r="I116" s="38"/>
      <c r="J116" s="37"/>
      <c r="K116" s="37"/>
      <c r="L116" s="37"/>
      <c r="M116" s="103" t="e">
        <f ca="1">IF(rngIsDate(HostBuild[CTO Acceptance]),"Y","N")</f>
        <v>#NAME?</v>
      </c>
      <c r="N116" s="123" t="s">
        <v>4</v>
      </c>
      <c r="O116" s="39"/>
      <c r="P116" s="39"/>
      <c r="Q116" s="123" t="s">
        <v>0</v>
      </c>
      <c r="R116" s="126" t="str">
        <f>IF(NOT(ISBLANK(HostBuild[Env Label])),IFERROR(VLOOKUP(HostBuild[Env Label],[1]!tEnv[#Data],3,FALSE),""),"")</f>
        <v/>
      </c>
      <c r="S116" s="104"/>
      <c r="T116" s="40"/>
      <c r="U116" s="105"/>
      <c r="V116" s="123" t="s">
        <v>31</v>
      </c>
      <c r="W116" s="123" t="s">
        <v>191</v>
      </c>
      <c r="X116" s="123" t="s">
        <v>99</v>
      </c>
      <c r="Y116" s="123" t="s">
        <v>188</v>
      </c>
      <c r="Z116" s="126" t="str">
        <f>IF(NOT(ISBLANK(HostBuild[[#This Row],[Product 
(Acronym)]])),CONCATENATE(HostBuild[[#This Row],[Type]],"-",HostBuild[[#This Row],[Product 
(Acronym)]]),"")</f>
        <v>DB-CBOL</v>
      </c>
      <c r="AA116" s="106"/>
      <c r="AB116" s="106" t="s">
        <v>76</v>
      </c>
      <c r="AC116" s="41"/>
      <c r="AD116" s="42"/>
      <c r="AE116" s="42"/>
      <c r="AF116" s="43"/>
      <c r="AG116" s="124"/>
      <c r="AH116" s="107"/>
      <c r="AI116" s="124" t="s">
        <v>32</v>
      </c>
      <c r="AJ116" s="123">
        <f>IF(COUNTIF(HostBuild[Alias],HostBuild[Alias]),1/COUNTIF(HostBuild[Alias],HostBuild[Alias]),0)</f>
        <v>1</v>
      </c>
      <c r="AK116" s="124"/>
      <c r="AL116" s="124"/>
      <c r="AM116" s="44" t="s">
        <v>62</v>
      </c>
      <c r="AN116" s="45" t="str">
        <f>IF(NOT(ISBLANK(HostBuild[Server Model])),VLOOKUP(HostBuild[Server Model],[1]!ServerModelsTier[#Data],2,FALSE),"")</f>
        <v>x86 Tier 3</v>
      </c>
      <c r="AO116" s="45" t="str">
        <f>IF(NOT(ISBLANK(HostBuild[Server Model])),VLOOKUP(HostBuild[Server Model],[1]!ServerModelsTier[#Data],5,FALSE),"")</f>
        <v>x86</v>
      </c>
      <c r="AP116" s="44"/>
      <c r="AQ116" s="44" t="s">
        <v>63</v>
      </c>
      <c r="AR116" s="46">
        <v>2</v>
      </c>
      <c r="AS116" s="108"/>
      <c r="AT116" s="47">
        <v>16</v>
      </c>
      <c r="AU116" s="109" t="str">
        <f>IF(IFERROR(FIND("P-Series",HostBuild[Server Tier]),0),CEILING((HostBuild[Existing CPUs]+HostBuild[CPU])*16,8),"")</f>
        <v/>
      </c>
      <c r="AV116" s="48">
        <v>128</v>
      </c>
      <c r="AW116" s="124"/>
      <c r="AX116" s="124"/>
      <c r="AY116" s="124"/>
      <c r="AZ116" s="49"/>
      <c r="BA116" s="124"/>
      <c r="BB116" s="124"/>
      <c r="BC116" s="42"/>
      <c r="BD116" s="124"/>
      <c r="BE116" s="124"/>
      <c r="BF116" s="124"/>
      <c r="BG116" s="124"/>
      <c r="BH116" s="124"/>
      <c r="BI116" s="124"/>
      <c r="BJ116" s="124"/>
      <c r="BK116"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6" s="127">
        <v>3200</v>
      </c>
      <c r="BM116" s="129">
        <f>IF(ISNUMBER(HostBuild[Recommended SAN (GB)]),HostBuild[Recommended SAN (GB)])+IF(HostBuild[Additional SAN (GB)]&gt;0,CEILING(HostBuild[Additional SAN (GB)],LUN),-(CEILING(-HostBuild[Additional SAN (GB)],LUN)))</f>
        <v>3403.7000000000003</v>
      </c>
      <c r="BN116" s="128"/>
      <c r="BO116" s="129">
        <f>HostBuild[SAN (GB)
NEEDED TODAY]+CEILING(HostBuild[SAN (GB)
RESERVED
DO NOT USE TO BUILD], LUN)</f>
        <v>3403.7000000000003</v>
      </c>
      <c r="BP116" s="130">
        <v>3000</v>
      </c>
      <c r="BQ116" s="131"/>
      <c r="BR116" s="125" t="s">
        <v>76</v>
      </c>
      <c r="BS116" s="110">
        <f>IF(HostBuild[Existing Server?]&lt;&gt;"Yes - Inside this BoM",IF(ISNUMBER(HostBuild[RAM 
(GB)]),IF(HostBuild[Existing RAM (GB)]+HostBuild[RAM 
(GB)]&gt;0,IF(HostBuild[Virtual Platform Storage Type]="NAS",110+HostBuild[Existing RAM (GB)]+HostBuild[RAM 
(GB)]*1.75,0),0),0),0)</f>
        <v>0</v>
      </c>
      <c r="BT116" s="111"/>
      <c r="BU116" s="112">
        <f>IF(ISNUMBER(HostBuild[Recommended NAS (GB)]),HostBuild[Recommended NAS (GB)])+HostBuild[Additional NAS (GB)]</f>
        <v>0</v>
      </c>
      <c r="BV116" s="50"/>
      <c r="BW116" s="50"/>
      <c r="BX116" s="133">
        <f>IFERROR((HostBuild[SAN (GB)
End-State
DO NOT USE TO BUILD]+HostBuild[SAN (GB) Shared])*25%,"")</f>
        <v>1600.9250000000002</v>
      </c>
      <c r="BY116" s="113">
        <f>IFERROR(HostBuild[Archive
Full (GB)]*15%,"")</f>
        <v>240.13875000000002</v>
      </c>
      <c r="BZ116" s="51"/>
      <c r="CA116" s="51"/>
      <c r="CB116" s="52"/>
      <c r="CC116" s="53"/>
      <c r="CD116" s="52"/>
      <c r="CE116" s="54"/>
      <c r="CF116" s="128"/>
      <c r="CG116" s="114"/>
      <c r="CH116" s="55"/>
      <c r="CI116" s="56"/>
      <c r="CJ116" s="57"/>
      <c r="CK116" s="58"/>
      <c r="CL116" s="59">
        <f>IFERROR(IF(FIND(CL$1,$W116)&gt;0,IF(INDEX([1]!Product_Pricing_Table[#Data],MATCH(CL$1,Products,0),2)="Cores",IF(HostBuild[Use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6" s="59">
        <f>IFERROR(IF(FIND(CM$1,$W116)&gt;0,IF(INDEX([1]!Product_Pricing_Table[#Data],MATCH(CM$1,Products,0),2)="Cores",IF(HostBuild[Use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6" s="59">
        <f>IFERROR(IF(FIND(CN$1,$W116)&gt;0,IF(INDEX([1]!Product_Pricing_Table[#Data],MATCH(CN$1,Products,0),2)="Cores",IF(HostBuild[Use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6" s="59">
        <f>IFERROR(IF(FIND(CO$1,$W116)&gt;0,IF(INDEX([1]!Product_Pricing_Table[#Data],MATCH(CO$1,Products,0),2)="Cores",IF(HostBuild[Use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6" s="59">
        <f>IFERROR(IF(FIND(CP$1,$W116)&gt;0,IF(INDEX([1]!Product_Pricing_Table[#Data],MATCH(CP$1,Products,0),2)="Cores",IF(HostBuild[Use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6" s="59">
        <f>IFERROR(IF(FIND(CQ$1,$W116)&gt;0,IF(INDEX([1]!Product_Pricing_Table[#Data],MATCH(CQ$1,Products,0),2)="Cores",IF(HostBuild[Use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6" s="59">
        <f>IFERROR(IF(FIND(CR$1,$W116)&gt;0,IF(INDEX([1]!Product_Pricing_Table[#Data],MATCH(CR$1,Products,0),2)="Cores",IF(HostBuild[Use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6" s="59">
        <f>IFERROR(IF(FIND(CS$1,$W116)&gt;0,IF(INDEX([1]!Product_Pricing_Table[#Data],MATCH(CS$1,Products,0),2)="Cores",IF(HostBuild[Use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6" s="59">
        <f>IFERROR(IF(FIND(CT$1,$W116)&gt;0,IF(INDEX([1]!Product_Pricing_Table[#Data],MATCH(CT$1,Products,0),2)="Cores",IF(HostBuild[Use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6" s="59">
        <f>IFERROR(IF(FIND(CU$1,$W116)&gt;0,IF(INDEX([1]!Product_Pricing_Table[#Data],MATCH(CU$1,Products,0),2)="Cores",IF(HostBuild[Use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6" s="59">
        <f>IFERROR(IF(FIND(CV$1,$W116)&gt;0,IF(INDEX([1]!Product_Pricing_Table[#Data],MATCH(CV$1,Products,0),2)="Cores",IF(HostBuild[Use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6" s="59">
        <f>IFERROR(IF(FIND(CW$1,$W116)&gt;0,IF(INDEX([1]!Product_Pricing_Table[#Data],MATCH(CW$1,Products,0),2)="Cores",IF(HostBuild[Use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6" s="59">
        <f>IFERROR(IF(FIND(CX$1,$W116)&gt;0,IF(INDEX([1]!Product_Pricing_Table[#Data],MATCH(CX$1,Products,0),2)="Cores",IF(HostBuild[Use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6" s="59">
        <f>IFERROR(IF(FIND(CY$1,$W116)&gt;0,IF(INDEX([1]!Product_Pricing_Table[#Data],MATCH(CY$1,Products,0),2)="Cores",IF(HostBuild[Use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6" s="59">
        <f>IFERROR(IF(FIND(CZ$1,$W116)&gt;0,IF(INDEX([1]!Product_Pricing_Table[#Data],MATCH(CZ$1,Products,0),2)="Cores",IF(HostBuild[Use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6" s="59">
        <f>IFERROR(IF(FIND(DA$1,$W116)&gt;0,IF(INDEX([1]!Product_Pricing_Table[#Data],MATCH(DA$1,Products,0),2)="Cores",IF(HostBuild[Use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6" s="59">
        <f>IFERROR(IF(FIND(DB$1,$W116)&gt;0,IF(INDEX([1]!Product_Pricing_Table[#Data],MATCH(DB$1,Products,0),2)="Cores",IF(HostBuild[Use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6" s="59">
        <f>IFERROR(IF(FIND(DC$1,$W116)&gt;0,IF(INDEX([1]!Product_Pricing_Table[#Data],MATCH(DC$1,Products,0),2)="Cores",IF(HostBuild[Use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6" s="59">
        <f>IFERROR(IF(FIND(DD$1,$W116)&gt;0,IF(INDEX([1]!Product_Pricing_Table[#Data],MATCH(DD$1,Products,0),2)="Cores",IF(HostBuild[Use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6" s="59">
        <f>IFERROR(IF(FIND(DE$1,$W116)&gt;0,IF(INDEX([1]!Product_Pricing_Table[#Data],MATCH(DE$1,Products,0),2)="Cores",IF(HostBuild[Use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6" s="60">
        <f>IFERROR(IF(FIND(DF$1,$W116)&gt;0,IF(INDEX([1]!Product_Pricing_Table[#Data],MATCH(DF$1,Products,0),2)="Cores",IF(HostBuild[Use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6" s="60">
        <f>IFERROR(IF(FIND(DG$1,$W116)&gt;0,IF(INDEX([1]!Product_Pricing_Table[#Data],MATCH(DG$1,Products,0),2)="Cores",IF(HostBuild[Use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6" s="59">
        <f>IFERROR(IF(FIND(DH$1,$W116)&gt;0,IF(INDEX([1]!Product_Pricing_Table[#Data],MATCH(DH$1,Products,0),2)="Cores",IF(HostBuild[Use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6" s="60">
        <f>IFERROR(IF(FIND(DI$1,$W116)&gt;0,IF(INDEX([1]!Product_Pricing_Table[#Data],MATCH(DI$1,Products,0),2)="Cores",IF(HostBuild[Use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6" s="59">
        <f>IFERROR(IF(FIND(DJ$1,$W116)&gt;0,IF(INDEX([1]!Product_Pricing_Table[#Data],MATCH(DJ$1,Products,0),2)="Cores",IF(HostBuild[Use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6" s="59">
        <f>IFERROR(IF(FIND(DK$1,$W116)&gt;0,IF(INDEX([1]!Product_Pricing_Table[#Data],MATCH(DK$1,Products,0),2)="Cores",IF(HostBuild[Use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6" s="59">
        <f>IFERROR(IF(FIND(DL$1,$W116)&gt;0,IF(INDEX([1]!Product_Pricing_Table[#Data],MATCH(DL$1,Products,0),2)="Cores",IF(HostBuild[Use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6" s="59">
        <f>IFERROR(IF(FIND(DM$1,$W116)&gt;0,IF(INDEX([1]!Product_Pricing_Table[#Data],MATCH(DM$1,Products,0),2)="Cores",IF(HostBuild[Use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6" s="59">
        <f>IFERROR(IF(FIND(DN$1,$W116)&gt;0,IF(INDEX([1]!Product_Pricing_Table[#Data],MATCH(DN$1,Products,0),2)="Cores",IF(HostBuild[Use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6" s="59">
        <f>IFERROR(IF(FIND(DO$1,$W116)&gt;0,IF(INDEX([1]!Product_Pricing_Table[#Data],MATCH(DO$1,Products,0),2)="Cores",IF(HostBuild[Use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6" s="59">
        <f>IFERROR(IF(FIND(DP$1,$W116)&gt;0,IF(INDEX([1]!Product_Pricing_Table[#Data],MATCH(DP$1,Products,0),2)="Cores",IF(HostBuild[Use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6" s="59">
        <f>IFERROR(IF(FIND(DQ$1,$W116)&gt;0,IF(INDEX([1]!Product_Pricing_Table[#Data],MATCH(DQ$1,Products,0),2)="Cores",IF(HostBuild[Use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6" s="59">
        <f>IFERROR(IF(FIND(DR$1,$W116)&gt;0,IF(INDEX([1]!Product_Pricing_Table[#Data],MATCH(DR$1,Products,0),2)="Cores",IF(HostBuild[Use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6" s="59">
        <f>IFERROR(IF(FIND(DS$1,$W116)&gt;0,IF(INDEX([1]!Product_Pricing_Table[#Data],MATCH(DS$1,Products,0),2)="Cores",IF(HostBuild[Use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6" s="59">
        <f>IFERROR(IF(FIND(DT$1,$W116)&gt;0,IF(INDEX([1]!Product_Pricing_Table[#Data],MATCH(DT$1,Products,0),2)="Cores",IF(HostBuild[Use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6" s="59">
        <f>IFERROR(IF(FIND(DU$1,$W116)&gt;0,IF(INDEX([1]!Product_Pricing_Table[#Data],MATCH(DU$1,Products,0),2)="Cores",IF(HostBuild[Use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6" s="59">
        <f>IFERROR(IF(FIND(DV$1,$W116)&gt;0,IF(INDEX([1]!Product_Pricing_Table[#Data],MATCH(DV$1,Products,0),2)="Cores",IF(HostBuild[Use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16" s="59">
        <f>IFERROR(IF(FIND(DW$1,$W116)&gt;0,IF(INDEX([1]!Product_Pricing_Table[#Data],MATCH(DW$1,Products,0),2)="Cores",IF(HostBuild[Use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6" s="59">
        <f>IFERROR(IF(FIND(DX$1,$W116)&gt;0,IF(INDEX([1]!Product_Pricing_Table[#Data],MATCH(DX$1,Products,0),2)="Cores",IF(HostBuild[Use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6" s="59">
        <f>IFERROR(IF(FIND(DY$1,$W116)&gt;0,IF(INDEX([1]!Product_Pricing_Table[#Data],MATCH(DY$1,Products,0),2)="Cores",IF(HostBuild[Use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6" s="59">
        <f>IFERROR(IF(FIND(DZ$1,$W116)&gt;0,IF(INDEX([1]!Product_Pricing_Table[#Data],MATCH(DZ$1,Products,0),2)="Cores",IF(HostBuild[Use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6" s="59">
        <f>IFERROR(IF(FIND(EA$1,$W116)&gt;0,IF(INDEX([1]!Product_Pricing_Table[#Data],MATCH(EA$1,Products,0),2)="Cores",IF(HostBuild[Use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6" s="59">
        <f>IFERROR(IF(FIND(EB$1,$W116)&gt;0,IF(INDEX([1]!Product_Pricing_Table[#Data],MATCH(EB$1,Products,0),2)="Cores",IF(HostBuild[Use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6" s="60">
        <f>IFERROR(IF(FIND(EC$1,$W116)&gt;0,IF(INDEX([1]!Product_Pricing_Table[#Data],MATCH(EC$1,Products,0),2)="Cores",IF(HostBuild[Use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6" s="59">
        <f>IFERROR(IF(FIND(ED$1,$W116)&gt;0,IF(INDEX([1]!Product_Pricing_Table[#Data],MATCH(ED$1,Products,0),2)="Cores",IF(HostBuild[Use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6" s="59">
        <f>IFERROR(IF(FIND(EE$1,$W116)&gt;0,IF(INDEX([1]!Product_Pricing_Table[#Data],MATCH(EE$1,Products,0),2)="Cores",IF(HostBuild[Use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6" s="59">
        <f>IFERROR(IF(FIND(EF$1,$W116)&gt;0,IF(INDEX([1]!Product_Pricing_Table[#Data],MATCH(EF$1,Products,0),2)="Cores",IF(HostBuild[Use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6" s="59">
        <f>IFERROR(IF(FIND(EG$1,$W116)&gt;0,IF(INDEX([1]!Product_Pricing_Table[#Data],MATCH(EG$1,Products,0),2)="Cores",IF(HostBuild[Use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6" s="59">
        <f>IFERROR(IF(FIND(EH$1,$W116)&gt;0,IF(INDEX([1]!Product_Pricing_Table[#Data],MATCH(EH$1,Products,0),2)="Cores",IF(HostBuild[Use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6" s="59">
        <f>IFERROR(IF(FIND(EI$1,$W116)&gt;0,IF(INDEX([1]!Product_Pricing_Table[#Data],MATCH(EI$1,Products,0),2)="Cores",IF(HostBuild[Use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6" s="59">
        <f>IFERROR(IF(FIND(EJ$1,$W116)&gt;0,IF(INDEX([1]!Product_Pricing_Table[#Data],MATCH(EJ$1,Products,0),2)="Cores",IF(HostBuild[Use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6" s="60">
        <f>IFERROR(IF(FIND(EK$1,$W116)&gt;0,IF(INDEX([1]!Product_Pricing_Table[#Data],MATCH(EK$1,Products,0),2)="Cores",IF(HostBuild[Use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6" s="61"/>
      <c r="EM116" s="62"/>
      <c r="EN116" s="63"/>
      <c r="EO116"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4564.6650000000009</v>
      </c>
      <c r="EQ116" s="132">
        <f>(HostBuild[Archive
Full (GB)]+HostBuild[Archive
Incr (GB)])*Storage_DC_Dist_Tape_2014</f>
        <v>644.37231250000002</v>
      </c>
      <c r="ER116" s="132">
        <f>IF(ISNUMBER(HostBuild[Server HW Costs
(Monthly)]),SUM(HostBuild[[#This Row],[Server HW Costs
(Monthly)]:[Tape Costs
(Monthly)]]),0)</f>
        <v>6097.7373125000004</v>
      </c>
      <c r="ES116" s="65">
        <f>HostBuild[Software Costs
'[Year 1']
(Monthly)]+HostBuild[Total Hardware Costs
(Monthly)]</f>
        <v>6097.7373125000004</v>
      </c>
      <c r="ET116" s="65">
        <f>IFERROR(IF(FIND("Safenet",HostBuild[Server Model]),Safenet_PSE_PL600_Maint,0),0)+IFERROR(IF(FIND("XI52",HostBuild[Server Model]),IBM_DIA_XI52_Maint,0),0)+HostBuild[Software Costs
'[After Year 1']
(Monthly)]+HostBuild[Total Hardware Costs
(Monthly)]</f>
        <v>6097.7373125000004</v>
      </c>
      <c r="EU116" s="66">
        <f>SUM(HostBuild[[#This Row],[Server Cost Breakdown]:[Network Cost]])</f>
        <v>888.7</v>
      </c>
      <c r="EV116" s="67">
        <f>IF(HostBuild[Existing Server?]="Yes - Inside this BoM",0,SUMIF(HostBuild[Alias],HostBuild[Alias],HostBuild[CPU])+SUMIF(HostBuild[Alias],HostBuild[Alias],HostBuild[Existing CPUs]))</f>
        <v>2</v>
      </c>
      <c r="EW116" s="67">
        <f>IF(HostBuild[Existing Server?]="Yes - Inside this BoM",0,SUMIF(HostBuild[Alias],HostBuild[Alias],HostBuild[Cores 
(Licensed Units)])+SUMIF(HostBuild[Alias],HostBuild[Alias],HostBuild[Existing Cores]))</f>
        <v>16</v>
      </c>
      <c r="EX116" s="67">
        <f>IF(HostBuild[Existing Server?]="Yes - Inside this BoM",0,SUMIF(HostBuild[Alias],HostBuild[Alias],HostBuild[RAM 
(GB)])+SUMIF(HostBuild[Alias],HostBuild[Alias],HostBuild[Existing RAM (GB)]))</f>
        <v>128</v>
      </c>
      <c r="EY11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6" s="66">
        <f>IF(ISBLANK(HostBuild[Server Model]),0,IF(HostBuild[Server Tier]="VMware",0,VLOOKUP(HostBuild[Server Tier],[1]!ServerTierRates[#Data],2,0))*HostBuild[CPU]*IF(AND(HostBuild[Server Type]="pSeries",HostBuild[Virtual Platform Storage Type]="Cloud-SAN"),0.25,1))</f>
        <v>608</v>
      </c>
      <c r="FD116" s="66">
        <f>0</f>
        <v>0</v>
      </c>
      <c r="FE116" s="66">
        <f>IF(HostBuild[Server Type]="VMware",HostBuild[RAM 
(GB)]*IF(ISERROR(FIND("DevCloud", HostBuild[Server Model])&gt;0),vRAM_per_vCPU_2014_Monthly,vRAM_per_vCPU_2014_Daily*30),0)</f>
        <v>0</v>
      </c>
      <c r="FF11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6" s="69">
        <f>IF(HostBuild[Server Tier]="VMware",0,IF(LEFT(HostBuild[Existing Server?],3)="Yes",0,IF(OR(HostBuild[Server Type]="Sun",HostBuild[Server Type]="pSeries"),Support_Direct_Server_Sun_per_OS_2014,IF(HostBuild[Server Type]="x86",Support_Direct_Server_x86_Wintel_per_OS_2014,0))))</f>
        <v>187.1</v>
      </c>
      <c r="FI11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7" spans="1:165" hidden="1">
      <c r="A117" s="122" t="s">
        <v>53</v>
      </c>
      <c r="B117" s="36"/>
      <c r="C117" s="36"/>
      <c r="D117" s="36"/>
      <c r="E117" s="37"/>
      <c r="F117" s="37"/>
      <c r="G117" s="103"/>
      <c r="H117" s="103"/>
      <c r="I117" s="38"/>
      <c r="J117" s="37"/>
      <c r="K117" s="37"/>
      <c r="L117" s="37"/>
      <c r="M117" s="103" t="e">
        <f ca="1">IF(rngIsDate(HostBuild[CTO Acceptance]),"Y","N")</f>
        <v>#NAME?</v>
      </c>
      <c r="N117" s="123" t="s">
        <v>4</v>
      </c>
      <c r="O117" s="39"/>
      <c r="P117" s="39"/>
      <c r="Q117" s="123" t="s">
        <v>0</v>
      </c>
      <c r="R117" s="126" t="str">
        <f>IF(NOT(ISBLANK(HostBuild[Env Label])),IFERROR(VLOOKUP(HostBuild[Env Label],[1]!tEnv[#Data],3,FALSE),""),"")</f>
        <v/>
      </c>
      <c r="S117" s="104"/>
      <c r="T117" s="40"/>
      <c r="U117" s="105"/>
      <c r="V117" s="123" t="s">
        <v>31</v>
      </c>
      <c r="W117" s="123" t="s">
        <v>191</v>
      </c>
      <c r="X117" s="123" t="s">
        <v>99</v>
      </c>
      <c r="Y117" s="123" t="s">
        <v>188</v>
      </c>
      <c r="Z117" s="126" t="str">
        <f>IF(NOT(ISBLANK(HostBuild[[#This Row],[Product 
(Acronym)]])),CONCATENATE(HostBuild[[#This Row],[Type]],"-",HostBuild[[#This Row],[Product 
(Acronym)]]),"")</f>
        <v>DB-CBOL</v>
      </c>
      <c r="AA117" s="106"/>
      <c r="AB117" s="106" t="s">
        <v>76</v>
      </c>
      <c r="AC117" s="41"/>
      <c r="AD117" s="42"/>
      <c r="AE117" s="42"/>
      <c r="AF117" s="43"/>
      <c r="AG117" s="124"/>
      <c r="AH117" s="107"/>
      <c r="AI117" s="124" t="s">
        <v>33</v>
      </c>
      <c r="AJ117" s="123">
        <f>IF(COUNTIF(HostBuild[Alias],HostBuild[Alias]),1/COUNTIF(HostBuild[Alias],HostBuild[Alias]),0)</f>
        <v>1</v>
      </c>
      <c r="AK117" s="124"/>
      <c r="AL117" s="124"/>
      <c r="AM117" s="44" t="s">
        <v>62</v>
      </c>
      <c r="AN117" s="45" t="str">
        <f>IF(NOT(ISBLANK(HostBuild[Server Model])),VLOOKUP(HostBuild[Server Model],[1]!ServerModelsTier[#Data],2,FALSE),"")</f>
        <v>x86 Tier 3</v>
      </c>
      <c r="AO117" s="45" t="str">
        <f>IF(NOT(ISBLANK(HostBuild[Server Model])),VLOOKUP(HostBuild[Server Model],[1]!ServerModelsTier[#Data],5,FALSE),"")</f>
        <v>x86</v>
      </c>
      <c r="AP117" s="44"/>
      <c r="AQ117" s="44" t="s">
        <v>63</v>
      </c>
      <c r="AR117" s="46">
        <v>2</v>
      </c>
      <c r="AS117" s="108"/>
      <c r="AT117" s="47">
        <v>16</v>
      </c>
      <c r="AU117" s="109" t="str">
        <f>IF(IFERROR(FIND("P-Series",HostBuild[Server Tier]),0),CEILING((HostBuild[Existing CPUs]+HostBuild[CPU])*16,8),"")</f>
        <v/>
      </c>
      <c r="AV117" s="48">
        <v>128</v>
      </c>
      <c r="AW117" s="124"/>
      <c r="AX117" s="124"/>
      <c r="AY117" s="124"/>
      <c r="AZ117" s="49"/>
      <c r="BA117" s="124"/>
      <c r="BB117" s="124"/>
      <c r="BC117" s="42"/>
      <c r="BD117" s="124"/>
      <c r="BE117" s="124"/>
      <c r="BF117" s="124"/>
      <c r="BG117" s="124"/>
      <c r="BH117" s="124"/>
      <c r="BI117" s="124"/>
      <c r="BJ117" s="124"/>
      <c r="BK117"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7" s="127">
        <v>200</v>
      </c>
      <c r="BM117" s="129">
        <f>IF(ISNUMBER(HostBuild[Recommended SAN (GB)]),HostBuild[Recommended SAN (GB)])+IF(HostBuild[Additional SAN (GB)]&gt;0,CEILING(HostBuild[Additional SAN (GB)],LUN),-(CEILING(-HostBuild[Additional SAN (GB)],LUN)))</f>
        <v>404.40000000000003</v>
      </c>
      <c r="BN117" s="128"/>
      <c r="BO117" s="129">
        <f>HostBuild[SAN (GB)
NEEDED TODAY]+CEILING(HostBuild[SAN (GB)
RESERVED
DO NOT USE TO BUILD], LUN)</f>
        <v>404.40000000000003</v>
      </c>
      <c r="BP117" s="130"/>
      <c r="BQ117" s="131"/>
      <c r="BR117" s="125" t="s">
        <v>76</v>
      </c>
      <c r="BS117" s="110">
        <f>IF(HostBuild[Existing Server?]&lt;&gt;"Yes - Inside this BoM",IF(ISNUMBER(HostBuild[RAM 
(GB)]),IF(HostBuild[Existing RAM (GB)]+HostBuild[RAM 
(GB)]&gt;0,IF(HostBuild[Virtual Platform Storage Type]="NAS",110+HostBuild[Existing RAM (GB)]+HostBuild[RAM 
(GB)]*1.75,0),0),0),0)</f>
        <v>0</v>
      </c>
      <c r="BT117" s="111"/>
      <c r="BU117" s="112">
        <f>IF(ISNUMBER(HostBuild[Recommended NAS (GB)]),HostBuild[Recommended NAS (GB)])+HostBuild[Additional NAS (GB)]</f>
        <v>0</v>
      </c>
      <c r="BV117" s="50"/>
      <c r="BW117" s="50"/>
      <c r="BX117" s="133">
        <f>IFERROR((HostBuild[SAN (GB)
End-State
DO NOT USE TO BUILD]+HostBuild[SAN (GB) Shared])*25%,"")</f>
        <v>101.10000000000001</v>
      </c>
      <c r="BY117" s="113">
        <f>IFERROR(HostBuild[Archive
Full (GB)]*15%,"")</f>
        <v>15.165000000000001</v>
      </c>
      <c r="BZ117" s="51"/>
      <c r="CA117" s="51"/>
      <c r="CB117" s="52"/>
      <c r="CC117" s="53"/>
      <c r="CD117" s="52"/>
      <c r="CE117" s="54"/>
      <c r="CF117" s="128"/>
      <c r="CG117" s="114"/>
      <c r="CH117" s="55"/>
      <c r="CI117" s="56"/>
      <c r="CJ117" s="57"/>
      <c r="CK117" s="58"/>
      <c r="CL117" s="59">
        <f>IFERROR(IF(FIND(CL$1,$W117)&gt;0,IF(INDEX([1]!Product_Pricing_Table[#Data],MATCH(CL$1,Products,0),2)="Cores",IF(HostBuild[Use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7" s="59">
        <f>IFERROR(IF(FIND(CM$1,$W117)&gt;0,IF(INDEX([1]!Product_Pricing_Table[#Data],MATCH(CM$1,Products,0),2)="Cores",IF(HostBuild[Use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7" s="59">
        <f>IFERROR(IF(FIND(CN$1,$W117)&gt;0,IF(INDEX([1]!Product_Pricing_Table[#Data],MATCH(CN$1,Products,0),2)="Cores",IF(HostBuild[Use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7" s="59">
        <f>IFERROR(IF(FIND(CO$1,$W117)&gt;0,IF(INDEX([1]!Product_Pricing_Table[#Data],MATCH(CO$1,Products,0),2)="Cores",IF(HostBuild[Use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7" s="59">
        <f>IFERROR(IF(FIND(CP$1,$W117)&gt;0,IF(INDEX([1]!Product_Pricing_Table[#Data],MATCH(CP$1,Products,0),2)="Cores",IF(HostBuild[Use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7" s="59">
        <f>IFERROR(IF(FIND(CQ$1,$W117)&gt;0,IF(INDEX([1]!Product_Pricing_Table[#Data],MATCH(CQ$1,Products,0),2)="Cores",IF(HostBuild[Use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7" s="59">
        <f>IFERROR(IF(FIND(CR$1,$W117)&gt;0,IF(INDEX([1]!Product_Pricing_Table[#Data],MATCH(CR$1,Products,0),2)="Cores",IF(HostBuild[Use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7" s="59">
        <f>IFERROR(IF(FIND(CS$1,$W117)&gt;0,IF(INDEX([1]!Product_Pricing_Table[#Data],MATCH(CS$1,Products,0),2)="Cores",IF(HostBuild[Use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7" s="59">
        <f>IFERROR(IF(FIND(CT$1,$W117)&gt;0,IF(INDEX([1]!Product_Pricing_Table[#Data],MATCH(CT$1,Products,0),2)="Cores",IF(HostBuild[Use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7" s="59">
        <f>IFERROR(IF(FIND(CU$1,$W117)&gt;0,IF(INDEX([1]!Product_Pricing_Table[#Data],MATCH(CU$1,Products,0),2)="Cores",IF(HostBuild[Use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7" s="59">
        <f>IFERROR(IF(FIND(CV$1,$W117)&gt;0,IF(INDEX([1]!Product_Pricing_Table[#Data],MATCH(CV$1,Products,0),2)="Cores",IF(HostBuild[Use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7" s="59">
        <f>IFERROR(IF(FIND(CW$1,$W117)&gt;0,IF(INDEX([1]!Product_Pricing_Table[#Data],MATCH(CW$1,Products,0),2)="Cores",IF(HostBuild[Use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7" s="59">
        <f>IFERROR(IF(FIND(CX$1,$W117)&gt;0,IF(INDEX([1]!Product_Pricing_Table[#Data],MATCH(CX$1,Products,0),2)="Cores",IF(HostBuild[Use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7" s="59">
        <f>IFERROR(IF(FIND(CY$1,$W117)&gt;0,IF(INDEX([1]!Product_Pricing_Table[#Data],MATCH(CY$1,Products,0),2)="Cores",IF(HostBuild[Use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7" s="59">
        <f>IFERROR(IF(FIND(CZ$1,$W117)&gt;0,IF(INDEX([1]!Product_Pricing_Table[#Data],MATCH(CZ$1,Products,0),2)="Cores",IF(HostBuild[Use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7" s="59">
        <f>IFERROR(IF(FIND(DA$1,$W117)&gt;0,IF(INDEX([1]!Product_Pricing_Table[#Data],MATCH(DA$1,Products,0),2)="Cores",IF(HostBuild[Use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7" s="59">
        <f>IFERROR(IF(FIND(DB$1,$W117)&gt;0,IF(INDEX([1]!Product_Pricing_Table[#Data],MATCH(DB$1,Products,0),2)="Cores",IF(HostBuild[Use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7" s="59">
        <f>IFERROR(IF(FIND(DC$1,$W117)&gt;0,IF(INDEX([1]!Product_Pricing_Table[#Data],MATCH(DC$1,Products,0),2)="Cores",IF(HostBuild[Use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7" s="59">
        <f>IFERROR(IF(FIND(DD$1,$W117)&gt;0,IF(INDEX([1]!Product_Pricing_Table[#Data],MATCH(DD$1,Products,0),2)="Cores",IF(HostBuild[Use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7" s="59">
        <f>IFERROR(IF(FIND(DE$1,$W117)&gt;0,IF(INDEX([1]!Product_Pricing_Table[#Data],MATCH(DE$1,Products,0),2)="Cores",IF(HostBuild[Use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7" s="60">
        <f>IFERROR(IF(FIND(DF$1,$W117)&gt;0,IF(INDEX([1]!Product_Pricing_Table[#Data],MATCH(DF$1,Products,0),2)="Cores",IF(HostBuild[Use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7" s="60">
        <f>IFERROR(IF(FIND(DG$1,$W117)&gt;0,IF(INDEX([1]!Product_Pricing_Table[#Data],MATCH(DG$1,Products,0),2)="Cores",IF(HostBuild[Use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7" s="59">
        <f>IFERROR(IF(FIND(DH$1,$W117)&gt;0,IF(INDEX([1]!Product_Pricing_Table[#Data],MATCH(DH$1,Products,0),2)="Cores",IF(HostBuild[Use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7" s="60">
        <f>IFERROR(IF(FIND(DI$1,$W117)&gt;0,IF(INDEX([1]!Product_Pricing_Table[#Data],MATCH(DI$1,Products,0),2)="Cores",IF(HostBuild[Use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7" s="59">
        <f>IFERROR(IF(FIND(DJ$1,$W117)&gt;0,IF(INDEX([1]!Product_Pricing_Table[#Data],MATCH(DJ$1,Products,0),2)="Cores",IF(HostBuild[Use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7" s="59">
        <f>IFERROR(IF(FIND(DK$1,$W117)&gt;0,IF(INDEX([1]!Product_Pricing_Table[#Data],MATCH(DK$1,Products,0),2)="Cores",IF(HostBuild[Use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7" s="59">
        <f>IFERROR(IF(FIND(DL$1,$W117)&gt;0,IF(INDEX([1]!Product_Pricing_Table[#Data],MATCH(DL$1,Products,0),2)="Cores",IF(HostBuild[Use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7" s="59">
        <f>IFERROR(IF(FIND(DM$1,$W117)&gt;0,IF(INDEX([1]!Product_Pricing_Table[#Data],MATCH(DM$1,Products,0),2)="Cores",IF(HostBuild[Use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7" s="59">
        <f>IFERROR(IF(FIND(DN$1,$W117)&gt;0,IF(INDEX([1]!Product_Pricing_Table[#Data],MATCH(DN$1,Products,0),2)="Cores",IF(HostBuild[Use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7" s="59">
        <f>IFERROR(IF(FIND(DO$1,$W117)&gt;0,IF(INDEX([1]!Product_Pricing_Table[#Data],MATCH(DO$1,Products,0),2)="Cores",IF(HostBuild[Use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7" s="59">
        <f>IFERROR(IF(FIND(DP$1,$W117)&gt;0,IF(INDEX([1]!Product_Pricing_Table[#Data],MATCH(DP$1,Products,0),2)="Cores",IF(HostBuild[Use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7" s="59">
        <f>IFERROR(IF(FIND(DQ$1,$W117)&gt;0,IF(INDEX([1]!Product_Pricing_Table[#Data],MATCH(DQ$1,Products,0),2)="Cores",IF(HostBuild[Use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7" s="59">
        <f>IFERROR(IF(FIND(DR$1,$W117)&gt;0,IF(INDEX([1]!Product_Pricing_Table[#Data],MATCH(DR$1,Products,0),2)="Cores",IF(HostBuild[Use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7" s="59">
        <f>IFERROR(IF(FIND(DS$1,$W117)&gt;0,IF(INDEX([1]!Product_Pricing_Table[#Data],MATCH(DS$1,Products,0),2)="Cores",IF(HostBuild[Use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7" s="59">
        <f>IFERROR(IF(FIND(DT$1,$W117)&gt;0,IF(INDEX([1]!Product_Pricing_Table[#Data],MATCH(DT$1,Products,0),2)="Cores",IF(HostBuild[Use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7" s="59">
        <f>IFERROR(IF(FIND(DU$1,$W117)&gt;0,IF(INDEX([1]!Product_Pricing_Table[#Data],MATCH(DU$1,Products,0),2)="Cores",IF(HostBuild[Use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7" s="59">
        <f>IFERROR(IF(FIND(DV$1,$W117)&gt;0,IF(INDEX([1]!Product_Pricing_Table[#Data],MATCH(DV$1,Products,0),2)="Cores",IF(HostBuild[Use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17" s="59">
        <f>IFERROR(IF(FIND(DW$1,$W117)&gt;0,IF(INDEX([1]!Product_Pricing_Table[#Data],MATCH(DW$1,Products,0),2)="Cores",IF(HostBuild[Use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7" s="59">
        <f>IFERROR(IF(FIND(DX$1,$W117)&gt;0,IF(INDEX([1]!Product_Pricing_Table[#Data],MATCH(DX$1,Products,0),2)="Cores",IF(HostBuild[Use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7" s="59">
        <f>IFERROR(IF(FIND(DY$1,$W117)&gt;0,IF(INDEX([1]!Product_Pricing_Table[#Data],MATCH(DY$1,Products,0),2)="Cores",IF(HostBuild[Use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7" s="59">
        <f>IFERROR(IF(FIND(DZ$1,$W117)&gt;0,IF(INDEX([1]!Product_Pricing_Table[#Data],MATCH(DZ$1,Products,0),2)="Cores",IF(HostBuild[Use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7" s="59">
        <f>IFERROR(IF(FIND(EA$1,$W117)&gt;0,IF(INDEX([1]!Product_Pricing_Table[#Data],MATCH(EA$1,Products,0),2)="Cores",IF(HostBuild[Use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7" s="59">
        <f>IFERROR(IF(FIND(EB$1,$W117)&gt;0,IF(INDEX([1]!Product_Pricing_Table[#Data],MATCH(EB$1,Products,0),2)="Cores",IF(HostBuild[Use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7" s="60">
        <f>IFERROR(IF(FIND(EC$1,$W117)&gt;0,IF(INDEX([1]!Product_Pricing_Table[#Data],MATCH(EC$1,Products,0),2)="Cores",IF(HostBuild[Use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7" s="59">
        <f>IFERROR(IF(FIND(ED$1,$W117)&gt;0,IF(INDEX([1]!Product_Pricing_Table[#Data],MATCH(ED$1,Products,0),2)="Cores",IF(HostBuild[Use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7" s="59">
        <f>IFERROR(IF(FIND(EE$1,$W117)&gt;0,IF(INDEX([1]!Product_Pricing_Table[#Data],MATCH(EE$1,Products,0),2)="Cores",IF(HostBuild[Use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7" s="59">
        <f>IFERROR(IF(FIND(EF$1,$W117)&gt;0,IF(INDEX([1]!Product_Pricing_Table[#Data],MATCH(EF$1,Products,0),2)="Cores",IF(HostBuild[Use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7" s="59">
        <f>IFERROR(IF(FIND(EG$1,$W117)&gt;0,IF(INDEX([1]!Product_Pricing_Table[#Data],MATCH(EG$1,Products,0),2)="Cores",IF(HostBuild[Use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7" s="59">
        <f>IFERROR(IF(FIND(EH$1,$W117)&gt;0,IF(INDEX([1]!Product_Pricing_Table[#Data],MATCH(EH$1,Products,0),2)="Cores",IF(HostBuild[Use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7" s="59">
        <f>IFERROR(IF(FIND(EI$1,$W117)&gt;0,IF(INDEX([1]!Product_Pricing_Table[#Data],MATCH(EI$1,Products,0),2)="Cores",IF(HostBuild[Use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7" s="59">
        <f>IFERROR(IF(FIND(EJ$1,$W117)&gt;0,IF(INDEX([1]!Product_Pricing_Table[#Data],MATCH(EJ$1,Products,0),2)="Cores",IF(HostBuild[Use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7" s="60">
        <f>IFERROR(IF(FIND(EK$1,$W117)&gt;0,IF(INDEX([1]!Product_Pricing_Table[#Data],MATCH(EK$1,Products,0),2)="Cores",IF(HostBuild[Use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7" s="61"/>
      <c r="EM117" s="62"/>
      <c r="EN117" s="63"/>
      <c r="EO117"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181.98000000000002</v>
      </c>
      <c r="EQ117" s="132">
        <f>(HostBuild[Archive
Full (GB)]+HostBuild[Archive
Incr (GB)])*Storage_DC_Dist_Tape_2014</f>
        <v>40.692750000000004</v>
      </c>
      <c r="ER117" s="132">
        <f>IF(ISNUMBER(HostBuild[Server HW Costs
(Monthly)]),SUM(HostBuild[[#This Row],[Server HW Costs
(Monthly)]:[Tape Costs
(Monthly)]]),0)</f>
        <v>1111.37275</v>
      </c>
      <c r="ES117" s="65">
        <f>HostBuild[Software Costs
'[Year 1']
(Monthly)]+HostBuild[Total Hardware Costs
(Monthly)]</f>
        <v>1111.37275</v>
      </c>
      <c r="ET117" s="65">
        <f>IFERROR(IF(FIND("Safenet",HostBuild[Server Model]),Safenet_PSE_PL600_Maint,0),0)+IFERROR(IF(FIND("XI52",HostBuild[Server Model]),IBM_DIA_XI52_Maint,0),0)+HostBuild[Software Costs
'[After Year 1']
(Monthly)]+HostBuild[Total Hardware Costs
(Monthly)]</f>
        <v>1111.37275</v>
      </c>
      <c r="EU117" s="66">
        <f>SUM(HostBuild[[#This Row],[Server Cost Breakdown]:[Network Cost]])</f>
        <v>888.7</v>
      </c>
      <c r="EV117" s="67">
        <f>IF(HostBuild[Existing Server?]="Yes - Inside this BoM",0,SUMIF(HostBuild[Alias],HostBuild[Alias],HostBuild[CPU])+SUMIF(HostBuild[Alias],HostBuild[Alias],HostBuild[Existing CPUs]))</f>
        <v>2</v>
      </c>
      <c r="EW117" s="67">
        <f>IF(HostBuild[Existing Server?]="Yes - Inside this BoM",0,SUMIF(HostBuild[Alias],HostBuild[Alias],HostBuild[Cores 
(Licensed Units)])+SUMIF(HostBuild[Alias],HostBuild[Alias],HostBuild[Existing Cores]))</f>
        <v>16</v>
      </c>
      <c r="EX117" s="67">
        <f>IF(HostBuild[Existing Server?]="Yes - Inside this BoM",0,SUMIF(HostBuild[Alias],HostBuild[Alias],HostBuild[RAM 
(GB)])+SUMIF(HostBuild[Alias],HostBuild[Alias],HostBuild[Existing RAM (GB)]))</f>
        <v>128</v>
      </c>
      <c r="EY11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7" s="66">
        <f>IF(ISBLANK(HostBuild[Server Model]),0,IF(HostBuild[Server Tier]="VMware",0,VLOOKUP(HostBuild[Server Tier],[1]!ServerTierRates[#Data],2,0))*HostBuild[CPU]*IF(AND(HostBuild[Server Type]="pSeries",HostBuild[Virtual Platform Storage Type]="Cloud-SAN"),0.25,1))</f>
        <v>608</v>
      </c>
      <c r="FD117" s="66">
        <f>0</f>
        <v>0</v>
      </c>
      <c r="FE117" s="66">
        <f>IF(HostBuild[Server Type]="VMware",HostBuild[RAM 
(GB)]*IF(ISERROR(FIND("DevCloud", HostBuild[Server Model])&gt;0),vRAM_per_vCPU_2014_Monthly,vRAM_per_vCPU_2014_Daily*30),0)</f>
        <v>0</v>
      </c>
      <c r="FF11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7" s="69">
        <f>IF(HostBuild[Server Tier]="VMware",0,IF(LEFT(HostBuild[Existing Server?],3)="Yes",0,IF(OR(HostBuild[Server Type]="Sun",HostBuild[Server Type]="pSeries"),Support_Direct_Server_Sun_per_OS_2014,IF(HostBuild[Server Type]="x86",Support_Direct_Server_x86_Wintel_per_OS_2014,0))))</f>
        <v>187.1</v>
      </c>
      <c r="FI11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8" spans="1:165" hidden="1">
      <c r="A118" s="122" t="s">
        <v>53</v>
      </c>
      <c r="B118" s="36"/>
      <c r="C118" s="36"/>
      <c r="D118" s="36"/>
      <c r="E118" s="37"/>
      <c r="F118" s="37"/>
      <c r="G118" s="103"/>
      <c r="H118" s="103"/>
      <c r="I118" s="38"/>
      <c r="J118" s="37"/>
      <c r="K118" s="37"/>
      <c r="L118" s="37"/>
      <c r="M118" s="103" t="e">
        <f ca="1">IF(rngIsDate(HostBuild[CTO Acceptance]),"Y","N")</f>
        <v>#NAME?</v>
      </c>
      <c r="N118" s="123" t="s">
        <v>3</v>
      </c>
      <c r="O118" s="39"/>
      <c r="P118" s="39"/>
      <c r="Q118" s="123" t="s">
        <v>189</v>
      </c>
      <c r="R118" s="126" t="str">
        <f>IF(NOT(ISBLANK(HostBuild[Env Label])),IFERROR(VLOOKUP(HostBuild[Env Label],[1]!tEnv[#Data],3,FALSE),""),"")</f>
        <v/>
      </c>
      <c r="S118" s="104"/>
      <c r="T118" s="40"/>
      <c r="U118" s="105"/>
      <c r="V118" s="123" t="s">
        <v>34</v>
      </c>
      <c r="W118" s="123" t="s">
        <v>191</v>
      </c>
      <c r="X118" s="123" t="s">
        <v>99</v>
      </c>
      <c r="Y118" s="123" t="s">
        <v>188</v>
      </c>
      <c r="Z118" s="126" t="str">
        <f>IF(NOT(ISBLANK(HostBuild[[#This Row],[Product 
(Acronym)]])),CONCATENATE(HostBuild[[#This Row],[Type]],"-",HostBuild[[#This Row],[Product 
(Acronym)]]),"")</f>
        <v>DB-CBOL</v>
      </c>
      <c r="AA118" s="106"/>
      <c r="AB118" s="106" t="s">
        <v>76</v>
      </c>
      <c r="AC118" s="41"/>
      <c r="AD118" s="42"/>
      <c r="AE118" s="42"/>
      <c r="AF118" s="43"/>
      <c r="AG118" s="124"/>
      <c r="AH118" s="107"/>
      <c r="AI118" s="124" t="s">
        <v>35</v>
      </c>
      <c r="AJ118" s="123">
        <f>IF(COUNTIF(HostBuild[Alias],HostBuild[Alias]),1/COUNTIF(HostBuild[Alias],HostBuild[Alias]),0)</f>
        <v>1</v>
      </c>
      <c r="AK118" s="124"/>
      <c r="AL118" s="124"/>
      <c r="AM118" s="44" t="s">
        <v>62</v>
      </c>
      <c r="AN118" s="45" t="str">
        <f>IF(NOT(ISBLANK(HostBuild[Server Model])),VLOOKUP(HostBuild[Server Model],[1]!ServerModelsTier[#Data],2,FALSE),"")</f>
        <v>x86 Tier 3</v>
      </c>
      <c r="AO118" s="45" t="str">
        <f>IF(NOT(ISBLANK(HostBuild[Server Model])),VLOOKUP(HostBuild[Server Model],[1]!ServerModelsTier[#Data],5,FALSE),"")</f>
        <v>x86</v>
      </c>
      <c r="AP118" s="44"/>
      <c r="AQ118" s="44" t="s">
        <v>63</v>
      </c>
      <c r="AR118" s="46">
        <v>2</v>
      </c>
      <c r="AS118" s="108"/>
      <c r="AT118" s="47">
        <v>16</v>
      </c>
      <c r="AU118" s="109" t="str">
        <f>IF(IFERROR(FIND("P-Series",HostBuild[Server Tier]),0),CEILING((HostBuild[Existing CPUs]+HostBuild[CPU])*16,8),"")</f>
        <v/>
      </c>
      <c r="AV118" s="48">
        <v>128</v>
      </c>
      <c r="AW118" s="124"/>
      <c r="AX118" s="124"/>
      <c r="AY118" s="124"/>
      <c r="AZ118" s="49"/>
      <c r="BA118" s="124"/>
      <c r="BB118" s="124"/>
      <c r="BC118" s="42"/>
      <c r="BD118" s="124"/>
      <c r="BE118" s="124"/>
      <c r="BF118" s="124"/>
      <c r="BG118" s="124"/>
      <c r="BH118" s="124"/>
      <c r="BI118" s="124"/>
      <c r="BJ118" s="124"/>
      <c r="BK118"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8" s="127">
        <v>3200</v>
      </c>
      <c r="BM118" s="129">
        <f>IF(ISNUMBER(HostBuild[Recommended SAN (GB)]),HostBuild[Recommended SAN (GB)])+IF(HostBuild[Additional SAN (GB)]&gt;0,CEILING(HostBuild[Additional SAN (GB)],LUN),-(CEILING(-HostBuild[Additional SAN (GB)],LUN)))</f>
        <v>3403.7000000000003</v>
      </c>
      <c r="BN118" s="128"/>
      <c r="BO118" s="129">
        <f>HostBuild[SAN (GB)
NEEDED TODAY]+CEILING(HostBuild[SAN (GB)
RESERVED
DO NOT USE TO BUILD], LUN)</f>
        <v>3403.7000000000003</v>
      </c>
      <c r="BP118" s="130">
        <v>3000</v>
      </c>
      <c r="BQ118" s="131"/>
      <c r="BR118" s="125" t="s">
        <v>76</v>
      </c>
      <c r="BS118" s="110">
        <f>IF(HostBuild[Existing Server?]&lt;&gt;"Yes - Inside this BoM",IF(ISNUMBER(HostBuild[RAM 
(GB)]),IF(HostBuild[Existing RAM (GB)]+HostBuild[RAM 
(GB)]&gt;0,IF(HostBuild[Virtual Platform Storage Type]="NAS",110+HostBuild[Existing RAM (GB)]+HostBuild[RAM 
(GB)]*1.75,0),0),0),0)</f>
        <v>0</v>
      </c>
      <c r="BT118" s="111"/>
      <c r="BU118" s="112">
        <f>IF(ISNUMBER(HostBuild[Recommended NAS (GB)]),HostBuild[Recommended NAS (GB)])+HostBuild[Additional NAS (GB)]</f>
        <v>0</v>
      </c>
      <c r="BV118" s="50"/>
      <c r="BW118" s="50"/>
      <c r="BX118" s="133">
        <f>IFERROR((HostBuild[SAN (GB)
End-State
DO NOT USE TO BUILD]+HostBuild[SAN (GB) Shared])*25%,"")</f>
        <v>1600.9250000000002</v>
      </c>
      <c r="BY118" s="113">
        <f>IFERROR(HostBuild[Archive
Full (GB)]*15%,"")</f>
        <v>240.13875000000002</v>
      </c>
      <c r="BZ118" s="51"/>
      <c r="CA118" s="51"/>
      <c r="CB118" s="52"/>
      <c r="CC118" s="53"/>
      <c r="CD118" s="52"/>
      <c r="CE118" s="54"/>
      <c r="CF118" s="128"/>
      <c r="CG118" s="114"/>
      <c r="CH118" s="55"/>
      <c r="CI118" s="56"/>
      <c r="CJ118" s="57"/>
      <c r="CK118" s="58"/>
      <c r="CL118" s="59">
        <f>IFERROR(IF(FIND(CL$1,$W118)&gt;0,IF(INDEX([1]!Product_Pricing_Table[#Data],MATCH(CL$1,Products,0),2)="Cores",IF(HostBuild[Use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8" s="59">
        <f>IFERROR(IF(FIND(CM$1,$W118)&gt;0,IF(INDEX([1]!Product_Pricing_Table[#Data],MATCH(CM$1,Products,0),2)="Cores",IF(HostBuild[Use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8" s="59">
        <f>IFERROR(IF(FIND(CN$1,$W118)&gt;0,IF(INDEX([1]!Product_Pricing_Table[#Data],MATCH(CN$1,Products,0),2)="Cores",IF(HostBuild[Use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8" s="59">
        <f>IFERROR(IF(FIND(CO$1,$W118)&gt;0,IF(INDEX([1]!Product_Pricing_Table[#Data],MATCH(CO$1,Products,0),2)="Cores",IF(HostBuild[Use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8" s="59">
        <f>IFERROR(IF(FIND(CP$1,$W118)&gt;0,IF(INDEX([1]!Product_Pricing_Table[#Data],MATCH(CP$1,Products,0),2)="Cores",IF(HostBuild[Use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8" s="59">
        <f>IFERROR(IF(FIND(CQ$1,$W118)&gt;0,IF(INDEX([1]!Product_Pricing_Table[#Data],MATCH(CQ$1,Products,0),2)="Cores",IF(HostBuild[Use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8" s="59">
        <f>IFERROR(IF(FIND(CR$1,$W118)&gt;0,IF(INDEX([1]!Product_Pricing_Table[#Data],MATCH(CR$1,Products,0),2)="Cores",IF(HostBuild[Use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8" s="59">
        <f>IFERROR(IF(FIND(CS$1,$W118)&gt;0,IF(INDEX([1]!Product_Pricing_Table[#Data],MATCH(CS$1,Products,0),2)="Cores",IF(HostBuild[Use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8" s="59">
        <f>IFERROR(IF(FIND(CT$1,$W118)&gt;0,IF(INDEX([1]!Product_Pricing_Table[#Data],MATCH(CT$1,Products,0),2)="Cores",IF(HostBuild[Use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8" s="59">
        <f>IFERROR(IF(FIND(CU$1,$W118)&gt;0,IF(INDEX([1]!Product_Pricing_Table[#Data],MATCH(CU$1,Products,0),2)="Cores",IF(HostBuild[Use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8" s="59">
        <f>IFERROR(IF(FIND(CV$1,$W118)&gt;0,IF(INDEX([1]!Product_Pricing_Table[#Data],MATCH(CV$1,Products,0),2)="Cores",IF(HostBuild[Use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8" s="59">
        <f>IFERROR(IF(FIND(CW$1,$W118)&gt;0,IF(INDEX([1]!Product_Pricing_Table[#Data],MATCH(CW$1,Products,0),2)="Cores",IF(HostBuild[Use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8" s="59">
        <f>IFERROR(IF(FIND(CX$1,$W118)&gt;0,IF(INDEX([1]!Product_Pricing_Table[#Data],MATCH(CX$1,Products,0),2)="Cores",IF(HostBuild[Use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8" s="59">
        <f>IFERROR(IF(FIND(CY$1,$W118)&gt;0,IF(INDEX([1]!Product_Pricing_Table[#Data],MATCH(CY$1,Products,0),2)="Cores",IF(HostBuild[Use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8" s="59">
        <f>IFERROR(IF(FIND(CZ$1,$W118)&gt;0,IF(INDEX([1]!Product_Pricing_Table[#Data],MATCH(CZ$1,Products,0),2)="Cores",IF(HostBuild[Use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8" s="59">
        <f>IFERROR(IF(FIND(DA$1,$W118)&gt;0,IF(INDEX([1]!Product_Pricing_Table[#Data],MATCH(DA$1,Products,0),2)="Cores",IF(HostBuild[Use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8" s="59">
        <f>IFERROR(IF(FIND(DB$1,$W118)&gt;0,IF(INDEX([1]!Product_Pricing_Table[#Data],MATCH(DB$1,Products,0),2)="Cores",IF(HostBuild[Use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8" s="59">
        <f>IFERROR(IF(FIND(DC$1,$W118)&gt;0,IF(INDEX([1]!Product_Pricing_Table[#Data],MATCH(DC$1,Products,0),2)="Cores",IF(HostBuild[Use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8" s="59">
        <f>IFERROR(IF(FIND(DD$1,$W118)&gt;0,IF(INDEX([1]!Product_Pricing_Table[#Data],MATCH(DD$1,Products,0),2)="Cores",IF(HostBuild[Use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8" s="59">
        <f>IFERROR(IF(FIND(DE$1,$W118)&gt;0,IF(INDEX([1]!Product_Pricing_Table[#Data],MATCH(DE$1,Products,0),2)="Cores",IF(HostBuild[Use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8" s="60">
        <f>IFERROR(IF(FIND(DF$1,$W118)&gt;0,IF(INDEX([1]!Product_Pricing_Table[#Data],MATCH(DF$1,Products,0),2)="Cores",IF(HostBuild[Use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8" s="60">
        <f>IFERROR(IF(FIND(DG$1,$W118)&gt;0,IF(INDEX([1]!Product_Pricing_Table[#Data],MATCH(DG$1,Products,0),2)="Cores",IF(HostBuild[Use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8" s="59">
        <f>IFERROR(IF(FIND(DH$1,$W118)&gt;0,IF(INDEX([1]!Product_Pricing_Table[#Data],MATCH(DH$1,Products,0),2)="Cores",IF(HostBuild[Use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8" s="60">
        <f>IFERROR(IF(FIND(DI$1,$W118)&gt;0,IF(INDEX([1]!Product_Pricing_Table[#Data],MATCH(DI$1,Products,0),2)="Cores",IF(HostBuild[Use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8" s="59">
        <f>IFERROR(IF(FIND(DJ$1,$W118)&gt;0,IF(INDEX([1]!Product_Pricing_Table[#Data],MATCH(DJ$1,Products,0),2)="Cores",IF(HostBuild[Use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8" s="59">
        <f>IFERROR(IF(FIND(DK$1,$W118)&gt;0,IF(INDEX([1]!Product_Pricing_Table[#Data],MATCH(DK$1,Products,0),2)="Cores",IF(HostBuild[Use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8" s="59">
        <f>IFERROR(IF(FIND(DL$1,$W118)&gt;0,IF(INDEX([1]!Product_Pricing_Table[#Data],MATCH(DL$1,Products,0),2)="Cores",IF(HostBuild[Use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8" s="59">
        <f>IFERROR(IF(FIND(DM$1,$W118)&gt;0,IF(INDEX([1]!Product_Pricing_Table[#Data],MATCH(DM$1,Products,0),2)="Cores",IF(HostBuild[Use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8" s="59">
        <f>IFERROR(IF(FIND(DN$1,$W118)&gt;0,IF(INDEX([1]!Product_Pricing_Table[#Data],MATCH(DN$1,Products,0),2)="Cores",IF(HostBuild[Use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8" s="59">
        <f>IFERROR(IF(FIND(DO$1,$W118)&gt;0,IF(INDEX([1]!Product_Pricing_Table[#Data],MATCH(DO$1,Products,0),2)="Cores",IF(HostBuild[Use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8" s="59">
        <f>IFERROR(IF(FIND(DP$1,$W118)&gt;0,IF(INDEX([1]!Product_Pricing_Table[#Data],MATCH(DP$1,Products,0),2)="Cores",IF(HostBuild[Use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8" s="59">
        <f>IFERROR(IF(FIND(DQ$1,$W118)&gt;0,IF(INDEX([1]!Product_Pricing_Table[#Data],MATCH(DQ$1,Products,0),2)="Cores",IF(HostBuild[Use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8" s="59">
        <f>IFERROR(IF(FIND(DR$1,$W118)&gt;0,IF(INDEX([1]!Product_Pricing_Table[#Data],MATCH(DR$1,Products,0),2)="Cores",IF(HostBuild[Use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8" s="59">
        <f>IFERROR(IF(FIND(DS$1,$W118)&gt;0,IF(INDEX([1]!Product_Pricing_Table[#Data],MATCH(DS$1,Products,0),2)="Cores",IF(HostBuild[Use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8" s="59">
        <f>IFERROR(IF(FIND(DT$1,$W118)&gt;0,IF(INDEX([1]!Product_Pricing_Table[#Data],MATCH(DT$1,Products,0),2)="Cores",IF(HostBuild[Use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8" s="59">
        <f>IFERROR(IF(FIND(DU$1,$W118)&gt;0,IF(INDEX([1]!Product_Pricing_Table[#Data],MATCH(DU$1,Products,0),2)="Cores",IF(HostBuild[Use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8" s="59">
        <f>IFERROR(IF(FIND(DV$1,$W118)&gt;0,IF(INDEX([1]!Product_Pricing_Table[#Data],MATCH(DV$1,Products,0),2)="Cores",IF(HostBuild[Use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18" s="59">
        <f>IFERROR(IF(FIND(DW$1,$W118)&gt;0,IF(INDEX([1]!Product_Pricing_Table[#Data],MATCH(DW$1,Products,0),2)="Cores",IF(HostBuild[Use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8" s="59">
        <f>IFERROR(IF(FIND(DX$1,$W118)&gt;0,IF(INDEX([1]!Product_Pricing_Table[#Data],MATCH(DX$1,Products,0),2)="Cores",IF(HostBuild[Use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8" s="59">
        <f>IFERROR(IF(FIND(DY$1,$W118)&gt;0,IF(INDEX([1]!Product_Pricing_Table[#Data],MATCH(DY$1,Products,0),2)="Cores",IF(HostBuild[Use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8" s="59">
        <f>IFERROR(IF(FIND(DZ$1,$W118)&gt;0,IF(INDEX([1]!Product_Pricing_Table[#Data],MATCH(DZ$1,Products,0),2)="Cores",IF(HostBuild[Use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8" s="59">
        <f>IFERROR(IF(FIND(EA$1,$W118)&gt;0,IF(INDEX([1]!Product_Pricing_Table[#Data],MATCH(EA$1,Products,0),2)="Cores",IF(HostBuild[Use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8" s="59">
        <f>IFERROR(IF(FIND(EB$1,$W118)&gt;0,IF(INDEX([1]!Product_Pricing_Table[#Data],MATCH(EB$1,Products,0),2)="Cores",IF(HostBuild[Use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8" s="60">
        <f>IFERROR(IF(FIND(EC$1,$W118)&gt;0,IF(INDEX([1]!Product_Pricing_Table[#Data],MATCH(EC$1,Products,0),2)="Cores",IF(HostBuild[Use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8" s="59">
        <f>IFERROR(IF(FIND(ED$1,$W118)&gt;0,IF(INDEX([1]!Product_Pricing_Table[#Data],MATCH(ED$1,Products,0),2)="Cores",IF(HostBuild[Use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8" s="59">
        <f>IFERROR(IF(FIND(EE$1,$W118)&gt;0,IF(INDEX([1]!Product_Pricing_Table[#Data],MATCH(EE$1,Products,0),2)="Cores",IF(HostBuild[Use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8" s="59">
        <f>IFERROR(IF(FIND(EF$1,$W118)&gt;0,IF(INDEX([1]!Product_Pricing_Table[#Data],MATCH(EF$1,Products,0),2)="Cores",IF(HostBuild[Use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8" s="59">
        <f>IFERROR(IF(FIND(EG$1,$W118)&gt;0,IF(INDEX([1]!Product_Pricing_Table[#Data],MATCH(EG$1,Products,0),2)="Cores",IF(HostBuild[Use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8" s="59">
        <f>IFERROR(IF(FIND(EH$1,$W118)&gt;0,IF(INDEX([1]!Product_Pricing_Table[#Data],MATCH(EH$1,Products,0),2)="Cores",IF(HostBuild[Use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8" s="59">
        <f>IFERROR(IF(FIND(EI$1,$W118)&gt;0,IF(INDEX([1]!Product_Pricing_Table[#Data],MATCH(EI$1,Products,0),2)="Cores",IF(HostBuild[Use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8" s="59">
        <f>IFERROR(IF(FIND(EJ$1,$W118)&gt;0,IF(INDEX([1]!Product_Pricing_Table[#Data],MATCH(EJ$1,Products,0),2)="Cores",IF(HostBuild[Use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8" s="60">
        <f>IFERROR(IF(FIND(EK$1,$W118)&gt;0,IF(INDEX([1]!Product_Pricing_Table[#Data],MATCH(EK$1,Products,0),2)="Cores",IF(HostBuild[Use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8" s="61"/>
      <c r="EM118" s="62"/>
      <c r="EN118" s="63"/>
      <c r="EO118"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4564.6650000000009</v>
      </c>
      <c r="EQ118" s="132">
        <f>(HostBuild[Archive
Full (GB)]+HostBuild[Archive
Incr (GB)])*Storage_DC_Dist_Tape_2014</f>
        <v>644.37231250000002</v>
      </c>
      <c r="ER118" s="132">
        <f>IF(ISNUMBER(HostBuild[Server HW Costs
(Monthly)]),SUM(HostBuild[[#This Row],[Server HW Costs
(Monthly)]:[Tape Costs
(Monthly)]]),0)</f>
        <v>6097.7373125000004</v>
      </c>
      <c r="ES118" s="65">
        <f>HostBuild[Software Costs
'[Year 1']
(Monthly)]+HostBuild[Total Hardware Costs
(Monthly)]</f>
        <v>6097.7373125000004</v>
      </c>
      <c r="ET118" s="65">
        <f>IFERROR(IF(FIND("Safenet",HostBuild[Server Model]),Safenet_PSE_PL600_Maint,0),0)+IFERROR(IF(FIND("XI52",HostBuild[Server Model]),IBM_DIA_XI52_Maint,0),0)+HostBuild[Software Costs
'[After Year 1']
(Monthly)]+HostBuild[Total Hardware Costs
(Monthly)]</f>
        <v>6097.7373125000004</v>
      </c>
      <c r="EU118" s="66">
        <f>SUM(HostBuild[[#This Row],[Server Cost Breakdown]:[Network Cost]])</f>
        <v>888.7</v>
      </c>
      <c r="EV118" s="67">
        <f>IF(HostBuild[Existing Server?]="Yes - Inside this BoM",0,SUMIF(HostBuild[Alias],HostBuild[Alias],HostBuild[CPU])+SUMIF(HostBuild[Alias],HostBuild[Alias],HostBuild[Existing CPUs]))</f>
        <v>2</v>
      </c>
      <c r="EW118" s="67">
        <f>IF(HostBuild[Existing Server?]="Yes - Inside this BoM",0,SUMIF(HostBuild[Alias],HostBuild[Alias],HostBuild[Cores 
(Licensed Units)])+SUMIF(HostBuild[Alias],HostBuild[Alias],HostBuild[Existing Cores]))</f>
        <v>16</v>
      </c>
      <c r="EX118" s="67">
        <f>IF(HostBuild[Existing Server?]="Yes - Inside this BoM",0,SUMIF(HostBuild[Alias],HostBuild[Alias],HostBuild[RAM 
(GB)])+SUMIF(HostBuild[Alias],HostBuild[Alias],HostBuild[Existing RAM (GB)]))</f>
        <v>128</v>
      </c>
      <c r="EY11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8" s="66">
        <f>IF(ISBLANK(HostBuild[Server Model]),0,IF(HostBuild[Server Tier]="VMware",0,VLOOKUP(HostBuild[Server Tier],[1]!ServerTierRates[#Data],2,0))*HostBuild[CPU]*IF(AND(HostBuild[Server Type]="pSeries",HostBuild[Virtual Platform Storage Type]="Cloud-SAN"),0.25,1))</f>
        <v>608</v>
      </c>
      <c r="FD118" s="66">
        <f>0</f>
        <v>0</v>
      </c>
      <c r="FE118" s="66">
        <f>IF(HostBuild[Server Type]="VMware",HostBuild[RAM 
(GB)]*IF(ISERROR(FIND("DevCloud", HostBuild[Server Model])&gt;0),vRAM_per_vCPU_2014_Monthly,vRAM_per_vCPU_2014_Daily*30),0)</f>
        <v>0</v>
      </c>
      <c r="FF11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8" s="69">
        <f>IF(HostBuild[Server Tier]="VMware",0,IF(LEFT(HostBuild[Existing Server?],3)="Yes",0,IF(OR(HostBuild[Server Type]="Sun",HostBuild[Server Type]="pSeries"),Support_Direct_Server_Sun_per_OS_2014,IF(HostBuild[Server Type]="x86",Support_Direct_Server_x86_Wintel_per_OS_2014,0))))</f>
        <v>187.1</v>
      </c>
      <c r="FI11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19" spans="1:165" hidden="1">
      <c r="A119" s="122" t="s">
        <v>53</v>
      </c>
      <c r="B119" s="36"/>
      <c r="C119" s="36"/>
      <c r="D119" s="36"/>
      <c r="E119" s="37"/>
      <c r="F119" s="37"/>
      <c r="G119" s="103"/>
      <c r="H119" s="103"/>
      <c r="I119" s="38"/>
      <c r="J119" s="37"/>
      <c r="K119" s="37"/>
      <c r="L119" s="37"/>
      <c r="M119" s="103" t="e">
        <f ca="1">IF(rngIsDate(HostBuild[CTO Acceptance]),"Y","N")</f>
        <v>#NAME?</v>
      </c>
      <c r="N119" s="123" t="s">
        <v>3</v>
      </c>
      <c r="O119" s="39"/>
      <c r="P119" s="39"/>
      <c r="Q119" s="123" t="s">
        <v>189</v>
      </c>
      <c r="R119" s="126" t="str">
        <f>IF(NOT(ISBLANK(HostBuild[Env Label])),IFERROR(VLOOKUP(HostBuild[Env Label],[1]!tEnv[#Data],3,FALSE),""),"")</f>
        <v/>
      </c>
      <c r="S119" s="104"/>
      <c r="T119" s="40"/>
      <c r="U119" s="105"/>
      <c r="V119" s="123" t="s">
        <v>34</v>
      </c>
      <c r="W119" s="123" t="s">
        <v>191</v>
      </c>
      <c r="X119" s="123" t="s">
        <v>99</v>
      </c>
      <c r="Y119" s="123" t="s">
        <v>188</v>
      </c>
      <c r="Z119" s="126" t="str">
        <f>IF(NOT(ISBLANK(HostBuild[[#This Row],[Product 
(Acronym)]])),CONCATENATE(HostBuild[[#This Row],[Type]],"-",HostBuild[[#This Row],[Product 
(Acronym)]]),"")</f>
        <v>DB-CBOL</v>
      </c>
      <c r="AA119" s="106"/>
      <c r="AB119" s="106" t="s">
        <v>76</v>
      </c>
      <c r="AC119" s="41"/>
      <c r="AD119" s="42"/>
      <c r="AE119" s="42"/>
      <c r="AF119" s="43"/>
      <c r="AG119" s="124"/>
      <c r="AH119" s="107"/>
      <c r="AI119" s="124" t="s">
        <v>36</v>
      </c>
      <c r="AJ119" s="123">
        <f>IF(COUNTIF(HostBuild[Alias],HostBuild[Alias]),1/COUNTIF(HostBuild[Alias],HostBuild[Alias]),0)</f>
        <v>1</v>
      </c>
      <c r="AK119" s="124"/>
      <c r="AL119" s="124"/>
      <c r="AM119" s="44" t="s">
        <v>62</v>
      </c>
      <c r="AN119" s="45" t="str">
        <f>IF(NOT(ISBLANK(HostBuild[Server Model])),VLOOKUP(HostBuild[Server Model],[1]!ServerModelsTier[#Data],2,FALSE),"")</f>
        <v>x86 Tier 3</v>
      </c>
      <c r="AO119" s="45" t="str">
        <f>IF(NOT(ISBLANK(HostBuild[Server Model])),VLOOKUP(HostBuild[Server Model],[1]!ServerModelsTier[#Data],5,FALSE),"")</f>
        <v>x86</v>
      </c>
      <c r="AP119" s="44"/>
      <c r="AQ119" s="44" t="s">
        <v>63</v>
      </c>
      <c r="AR119" s="46">
        <v>2</v>
      </c>
      <c r="AS119" s="108"/>
      <c r="AT119" s="47">
        <v>16</v>
      </c>
      <c r="AU119" s="109"/>
      <c r="AV119" s="48">
        <v>128</v>
      </c>
      <c r="AW119" s="124"/>
      <c r="AX119" s="124"/>
      <c r="AY119" s="124"/>
      <c r="AZ119" s="49"/>
      <c r="BA119" s="124"/>
      <c r="BB119" s="124"/>
      <c r="BC119" s="42"/>
      <c r="BD119" s="124"/>
      <c r="BE119" s="124"/>
      <c r="BF119" s="124"/>
      <c r="BG119" s="124"/>
      <c r="BH119" s="124"/>
      <c r="BI119" s="124"/>
      <c r="BJ119" s="124"/>
      <c r="BK119"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19" s="127">
        <v>200</v>
      </c>
      <c r="BM119" s="129">
        <f>IF(ISNUMBER(HostBuild[Recommended SAN (GB)]),HostBuild[Recommended SAN (GB)])+IF(HostBuild[Additional SAN (GB)]&gt;0,CEILING(HostBuild[Additional SAN (GB)],LUN),-(CEILING(-HostBuild[Additional SAN (GB)],LUN)))</f>
        <v>404.40000000000003</v>
      </c>
      <c r="BN119" s="128"/>
      <c r="BO119" s="129">
        <f>HostBuild[SAN (GB)
NEEDED TODAY]+CEILING(HostBuild[SAN (GB)
RESERVED
DO NOT USE TO BUILD], LUN)</f>
        <v>404.40000000000003</v>
      </c>
      <c r="BP119" s="130"/>
      <c r="BQ119" s="131"/>
      <c r="BR119" s="125" t="s">
        <v>76</v>
      </c>
      <c r="BS119" s="110">
        <f>IF(HostBuild[Existing Server?]&lt;&gt;"Yes - Inside this BoM",IF(ISNUMBER(HostBuild[RAM 
(GB)]),IF(HostBuild[Existing RAM (GB)]+HostBuild[RAM 
(GB)]&gt;0,IF(HostBuild[Virtual Platform Storage Type]="NAS",110+HostBuild[Existing RAM (GB)]+HostBuild[RAM 
(GB)]*1.75,0),0),0),0)</f>
        <v>0</v>
      </c>
      <c r="BT119" s="111"/>
      <c r="BU119" s="112">
        <f>IF(ISNUMBER(HostBuild[Recommended NAS (GB)]),HostBuild[Recommended NAS (GB)])+HostBuild[Additional NAS (GB)]</f>
        <v>0</v>
      </c>
      <c r="BV119" s="50"/>
      <c r="BW119" s="50"/>
      <c r="BX119" s="133">
        <f>IFERROR((HostBuild[SAN (GB)
End-State
DO NOT USE TO BUILD]+HostBuild[SAN (GB) Shared])*25%,"")</f>
        <v>101.10000000000001</v>
      </c>
      <c r="BY119" s="113">
        <f>IFERROR(HostBuild[Archive
Full (GB)]*15%,"")</f>
        <v>15.165000000000001</v>
      </c>
      <c r="BZ119" s="51"/>
      <c r="CA119" s="51"/>
      <c r="CB119" s="52"/>
      <c r="CC119" s="53"/>
      <c r="CD119" s="52"/>
      <c r="CE119" s="54"/>
      <c r="CF119" s="128"/>
      <c r="CG119" s="114"/>
      <c r="CH119" s="55"/>
      <c r="CI119" s="56"/>
      <c r="CJ119" s="57"/>
      <c r="CK119" s="58"/>
      <c r="CL119" s="59">
        <f>IFERROR(IF(FIND(CL$1,$W119)&gt;0,IF(INDEX([1]!Product_Pricing_Table[#Data],MATCH(CL$1,Products,0),2)="Cores",IF(HostBuild[Use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19" s="59">
        <f>IFERROR(IF(FIND(CM$1,$W119)&gt;0,IF(INDEX([1]!Product_Pricing_Table[#Data],MATCH(CM$1,Products,0),2)="Cores",IF(HostBuild[Use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19" s="59">
        <f>IFERROR(IF(FIND(CN$1,$W119)&gt;0,IF(INDEX([1]!Product_Pricing_Table[#Data],MATCH(CN$1,Products,0),2)="Cores",IF(HostBuild[Use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19" s="59">
        <f>IFERROR(IF(FIND(CO$1,$W119)&gt;0,IF(INDEX([1]!Product_Pricing_Table[#Data],MATCH(CO$1,Products,0),2)="Cores",IF(HostBuild[Use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19" s="59">
        <f>IFERROR(IF(FIND(CP$1,$W119)&gt;0,IF(INDEX([1]!Product_Pricing_Table[#Data],MATCH(CP$1,Products,0),2)="Cores",IF(HostBuild[Use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19" s="59">
        <f>IFERROR(IF(FIND(CQ$1,$W119)&gt;0,IF(INDEX([1]!Product_Pricing_Table[#Data],MATCH(CQ$1,Products,0),2)="Cores",IF(HostBuild[Use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19" s="59">
        <f>IFERROR(IF(FIND(CR$1,$W119)&gt;0,IF(INDEX([1]!Product_Pricing_Table[#Data],MATCH(CR$1,Products,0),2)="Cores",IF(HostBuild[Use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19" s="59">
        <f>IFERROR(IF(FIND(CS$1,$W119)&gt;0,IF(INDEX([1]!Product_Pricing_Table[#Data],MATCH(CS$1,Products,0),2)="Cores",IF(HostBuild[Use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19" s="59">
        <f>IFERROR(IF(FIND(CT$1,$W119)&gt;0,IF(INDEX([1]!Product_Pricing_Table[#Data],MATCH(CT$1,Products,0),2)="Cores",IF(HostBuild[Use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19" s="59">
        <f>IFERROR(IF(FIND(CU$1,$W119)&gt;0,IF(INDEX([1]!Product_Pricing_Table[#Data],MATCH(CU$1,Products,0),2)="Cores",IF(HostBuild[Use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19" s="59">
        <f>IFERROR(IF(FIND(CV$1,$W119)&gt;0,IF(INDEX([1]!Product_Pricing_Table[#Data],MATCH(CV$1,Products,0),2)="Cores",IF(HostBuild[Use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19" s="59">
        <f>IFERROR(IF(FIND(CW$1,$W119)&gt;0,IF(INDEX([1]!Product_Pricing_Table[#Data],MATCH(CW$1,Products,0),2)="Cores",IF(HostBuild[Use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19" s="59">
        <f>IFERROR(IF(FIND(CX$1,$W119)&gt;0,IF(INDEX([1]!Product_Pricing_Table[#Data],MATCH(CX$1,Products,0),2)="Cores",IF(HostBuild[Use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19" s="59">
        <f>IFERROR(IF(FIND(CY$1,$W119)&gt;0,IF(INDEX([1]!Product_Pricing_Table[#Data],MATCH(CY$1,Products,0),2)="Cores",IF(HostBuild[Use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19" s="59">
        <f>IFERROR(IF(FIND(CZ$1,$W119)&gt;0,IF(INDEX([1]!Product_Pricing_Table[#Data],MATCH(CZ$1,Products,0),2)="Cores",IF(HostBuild[Use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19" s="59">
        <f>IFERROR(IF(FIND(DA$1,$W119)&gt;0,IF(INDEX([1]!Product_Pricing_Table[#Data],MATCH(DA$1,Products,0),2)="Cores",IF(HostBuild[Use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19" s="59">
        <f>IFERROR(IF(FIND(DB$1,$W119)&gt;0,IF(INDEX([1]!Product_Pricing_Table[#Data],MATCH(DB$1,Products,0),2)="Cores",IF(HostBuild[Use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19" s="59">
        <f>IFERROR(IF(FIND(DC$1,$W119)&gt;0,IF(INDEX([1]!Product_Pricing_Table[#Data],MATCH(DC$1,Products,0),2)="Cores",IF(HostBuild[Use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19" s="59">
        <f>IFERROR(IF(FIND(DD$1,$W119)&gt;0,IF(INDEX([1]!Product_Pricing_Table[#Data],MATCH(DD$1,Products,0),2)="Cores",IF(HostBuild[Use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19" s="59">
        <f>IFERROR(IF(FIND(DE$1,$W119)&gt;0,IF(INDEX([1]!Product_Pricing_Table[#Data],MATCH(DE$1,Products,0),2)="Cores",IF(HostBuild[Use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19" s="60">
        <f>IFERROR(IF(FIND(DF$1,$W119)&gt;0,IF(INDEX([1]!Product_Pricing_Table[#Data],MATCH(DF$1,Products,0),2)="Cores",IF(HostBuild[Use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19" s="60">
        <f>IFERROR(IF(FIND(DG$1,$W119)&gt;0,IF(INDEX([1]!Product_Pricing_Table[#Data],MATCH(DG$1,Products,0),2)="Cores",IF(HostBuild[Use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19" s="59">
        <f>IFERROR(IF(FIND(DH$1,$W119)&gt;0,IF(INDEX([1]!Product_Pricing_Table[#Data],MATCH(DH$1,Products,0),2)="Cores",IF(HostBuild[Use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19" s="60">
        <f>IFERROR(IF(FIND(DI$1,$W119)&gt;0,IF(INDEX([1]!Product_Pricing_Table[#Data],MATCH(DI$1,Products,0),2)="Cores",IF(HostBuild[Use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19" s="59">
        <f>IFERROR(IF(FIND(DJ$1,$W119)&gt;0,IF(INDEX([1]!Product_Pricing_Table[#Data],MATCH(DJ$1,Products,0),2)="Cores",IF(HostBuild[Use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19" s="59">
        <f>IFERROR(IF(FIND(DK$1,$W119)&gt;0,IF(INDEX([1]!Product_Pricing_Table[#Data],MATCH(DK$1,Products,0),2)="Cores",IF(HostBuild[Use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19" s="59">
        <f>IFERROR(IF(FIND(DL$1,$W119)&gt;0,IF(INDEX([1]!Product_Pricing_Table[#Data],MATCH(DL$1,Products,0),2)="Cores",IF(HostBuild[Use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19" s="59">
        <f>IFERROR(IF(FIND(DM$1,$W119)&gt;0,IF(INDEX([1]!Product_Pricing_Table[#Data],MATCH(DM$1,Products,0),2)="Cores",IF(HostBuild[Use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19" s="59">
        <f>IFERROR(IF(FIND(DN$1,$W119)&gt;0,IF(INDEX([1]!Product_Pricing_Table[#Data],MATCH(DN$1,Products,0),2)="Cores",IF(HostBuild[Use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19" s="59">
        <f>IFERROR(IF(FIND(DO$1,$W119)&gt;0,IF(INDEX([1]!Product_Pricing_Table[#Data],MATCH(DO$1,Products,0),2)="Cores",IF(HostBuild[Use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19" s="59">
        <f>IFERROR(IF(FIND(DP$1,$W119)&gt;0,IF(INDEX([1]!Product_Pricing_Table[#Data],MATCH(DP$1,Products,0),2)="Cores",IF(HostBuild[Use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19" s="59">
        <f>IFERROR(IF(FIND(DQ$1,$W119)&gt;0,IF(INDEX([1]!Product_Pricing_Table[#Data],MATCH(DQ$1,Products,0),2)="Cores",IF(HostBuild[Use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19" s="59">
        <f>IFERROR(IF(FIND(DR$1,$W119)&gt;0,IF(INDEX([1]!Product_Pricing_Table[#Data],MATCH(DR$1,Products,0),2)="Cores",IF(HostBuild[Use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19" s="59">
        <f>IFERROR(IF(FIND(DS$1,$W119)&gt;0,IF(INDEX([1]!Product_Pricing_Table[#Data],MATCH(DS$1,Products,0),2)="Cores",IF(HostBuild[Use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19" s="59">
        <f>IFERROR(IF(FIND(DT$1,$W119)&gt;0,IF(INDEX([1]!Product_Pricing_Table[#Data],MATCH(DT$1,Products,0),2)="Cores",IF(HostBuild[Use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19" s="59">
        <f>IFERROR(IF(FIND(DU$1,$W119)&gt;0,IF(INDEX([1]!Product_Pricing_Table[#Data],MATCH(DU$1,Products,0),2)="Cores",IF(HostBuild[Use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19" s="59">
        <f>IFERROR(IF(FIND(DV$1,$W119)&gt;0,IF(INDEX([1]!Product_Pricing_Table[#Data],MATCH(DV$1,Products,0),2)="Cores",IF(HostBuild[Use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19" s="59">
        <f>IFERROR(IF(FIND(DW$1,$W119)&gt;0,IF(INDEX([1]!Product_Pricing_Table[#Data],MATCH(DW$1,Products,0),2)="Cores",IF(HostBuild[Use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19" s="59">
        <f>IFERROR(IF(FIND(DX$1,$W119)&gt;0,IF(INDEX([1]!Product_Pricing_Table[#Data],MATCH(DX$1,Products,0),2)="Cores",IF(HostBuild[Use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19" s="59">
        <f>IFERROR(IF(FIND(DY$1,$W119)&gt;0,IF(INDEX([1]!Product_Pricing_Table[#Data],MATCH(DY$1,Products,0),2)="Cores",IF(HostBuild[Use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19" s="59">
        <f>IFERROR(IF(FIND(DZ$1,$W119)&gt;0,IF(INDEX([1]!Product_Pricing_Table[#Data],MATCH(DZ$1,Products,0),2)="Cores",IF(HostBuild[Use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19" s="59">
        <f>IFERROR(IF(FIND(EA$1,$W119)&gt;0,IF(INDEX([1]!Product_Pricing_Table[#Data],MATCH(EA$1,Products,0),2)="Cores",IF(HostBuild[Use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19" s="59">
        <f>IFERROR(IF(FIND(EB$1,$W119)&gt;0,IF(INDEX([1]!Product_Pricing_Table[#Data],MATCH(EB$1,Products,0),2)="Cores",IF(HostBuild[Use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19" s="60">
        <f>IFERROR(IF(FIND(EC$1,$W119)&gt;0,IF(INDEX([1]!Product_Pricing_Table[#Data],MATCH(EC$1,Products,0),2)="Cores",IF(HostBuild[Use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19" s="59">
        <f>IFERROR(IF(FIND(ED$1,$W119)&gt;0,IF(INDEX([1]!Product_Pricing_Table[#Data],MATCH(ED$1,Products,0),2)="Cores",IF(HostBuild[Use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19" s="59">
        <f>IFERROR(IF(FIND(EE$1,$W119)&gt;0,IF(INDEX([1]!Product_Pricing_Table[#Data],MATCH(EE$1,Products,0),2)="Cores",IF(HostBuild[Use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19" s="59">
        <f>IFERROR(IF(FIND(EF$1,$W119)&gt;0,IF(INDEX([1]!Product_Pricing_Table[#Data],MATCH(EF$1,Products,0),2)="Cores",IF(HostBuild[Use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19" s="59">
        <f>IFERROR(IF(FIND(EG$1,$W119)&gt;0,IF(INDEX([1]!Product_Pricing_Table[#Data],MATCH(EG$1,Products,0),2)="Cores",IF(HostBuild[Use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19" s="59">
        <f>IFERROR(IF(FIND(EH$1,$W119)&gt;0,IF(INDEX([1]!Product_Pricing_Table[#Data],MATCH(EH$1,Products,0),2)="Cores",IF(HostBuild[Use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19" s="59">
        <f>IFERROR(IF(FIND(EI$1,$W119)&gt;0,IF(INDEX([1]!Product_Pricing_Table[#Data],MATCH(EI$1,Products,0),2)="Cores",IF(HostBuild[Use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19" s="59">
        <f>IFERROR(IF(FIND(EJ$1,$W119)&gt;0,IF(INDEX([1]!Product_Pricing_Table[#Data],MATCH(EJ$1,Products,0),2)="Cores",IF(HostBuild[Use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19" s="60">
        <f>IFERROR(IF(FIND(EK$1,$W119)&gt;0,IF(INDEX([1]!Product_Pricing_Table[#Data],MATCH(EK$1,Products,0),2)="Cores",IF(HostBuild[Use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19" s="61"/>
      <c r="EM119" s="62"/>
      <c r="EN119" s="63"/>
      <c r="EO119"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1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181.98000000000002</v>
      </c>
      <c r="EQ119" s="132">
        <f>(HostBuild[Archive
Full (GB)]+HostBuild[Archive
Incr (GB)])*Storage_DC_Dist_Tape_2014</f>
        <v>40.692750000000004</v>
      </c>
      <c r="ER119" s="132">
        <f>IF(ISNUMBER(HostBuild[Server HW Costs
(Monthly)]),SUM(HostBuild[[#This Row],[Server HW Costs
(Monthly)]:[Tape Costs
(Monthly)]]),0)</f>
        <v>1111.37275</v>
      </c>
      <c r="ES119" s="65">
        <f>HostBuild[Software Costs
'[Year 1']
(Monthly)]+HostBuild[Total Hardware Costs
(Monthly)]</f>
        <v>1111.37275</v>
      </c>
      <c r="ET119" s="65">
        <f>IFERROR(IF(FIND("Safenet",HostBuild[Server Model]),Safenet_PSE_PL600_Maint,0),0)+IFERROR(IF(FIND("XI52",HostBuild[Server Model]),IBM_DIA_XI52_Maint,0),0)+HostBuild[Software Costs
'[After Year 1']
(Monthly)]+HostBuild[Total Hardware Costs
(Monthly)]</f>
        <v>1111.37275</v>
      </c>
      <c r="EU119" s="66">
        <f>SUM(HostBuild[[#This Row],[Server Cost Breakdown]:[Network Cost]])</f>
        <v>888.7</v>
      </c>
      <c r="EV119" s="67">
        <f>IF(HostBuild[Existing Server?]="Yes - Inside this BoM",0,SUMIF(HostBuild[Alias],HostBuild[Alias],HostBuild[CPU])+SUMIF(HostBuild[Alias],HostBuild[Alias],HostBuild[Existing CPUs]))</f>
        <v>2</v>
      </c>
      <c r="EW119" s="67">
        <f>IF(HostBuild[Existing Server?]="Yes - Inside this BoM",0,SUMIF(HostBuild[Alias],HostBuild[Alias],HostBuild[Cores 
(Licensed Units)])+SUMIF(HostBuild[Alias],HostBuild[Alias],HostBuild[Existing Cores]))</f>
        <v>16</v>
      </c>
      <c r="EX119" s="67">
        <f>IF(HostBuild[Existing Server?]="Yes - Inside this BoM",0,SUMIF(HostBuild[Alias],HostBuild[Alias],HostBuild[RAM 
(GB)])+SUMIF(HostBuild[Alias],HostBuild[Alias],HostBuild[Existing RAM (GB)]))</f>
        <v>128</v>
      </c>
      <c r="EY11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1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1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1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19" s="66">
        <f>IF(ISBLANK(HostBuild[Server Model]),0,IF(HostBuild[Server Tier]="VMware",0,VLOOKUP(HostBuild[Server Tier],[1]!ServerTierRates[#Data],2,0))*HostBuild[CPU]*IF(AND(HostBuild[Server Type]="pSeries",HostBuild[Virtual Platform Storage Type]="Cloud-SAN"),0.25,1))</f>
        <v>608</v>
      </c>
      <c r="FD119" s="66">
        <f>0</f>
        <v>0</v>
      </c>
      <c r="FE119" s="66">
        <f>IF(HostBuild[Server Type]="VMware",HostBuild[RAM 
(GB)]*IF(ISERROR(FIND("DevCloud", HostBuild[Server Model])&gt;0),vRAM_per_vCPU_2014_Monthly,vRAM_per_vCPU_2014_Daily*30),0)</f>
        <v>0</v>
      </c>
      <c r="FF11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1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19" s="69">
        <f>IF(HostBuild[Server Tier]="VMware",0,IF(LEFT(HostBuild[Existing Server?],3)="Yes",0,IF(OR(HostBuild[Server Type]="Sun",HostBuild[Server Type]="pSeries"),Support_Direct_Server_Sun_per_OS_2014,IF(HostBuild[Server Type]="x86",Support_Direct_Server_x86_Wintel_per_OS_2014,0))))</f>
        <v>187.1</v>
      </c>
      <c r="FI11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0" spans="1:165" hidden="1">
      <c r="A120" s="122" t="s">
        <v>53</v>
      </c>
      <c r="B120" s="36"/>
      <c r="C120" s="36"/>
      <c r="D120" s="36"/>
      <c r="E120" s="37"/>
      <c r="F120" s="37"/>
      <c r="G120" s="103"/>
      <c r="H120" s="103"/>
      <c r="I120" s="38"/>
      <c r="J120" s="37"/>
      <c r="K120" s="37"/>
      <c r="L120" s="37"/>
      <c r="M120" s="103" t="e">
        <f ca="1">IF(rngIsDate(HostBuild[CTO Acceptance]),"Y","N")</f>
        <v>#NAME?</v>
      </c>
      <c r="N120" s="123" t="s">
        <v>4</v>
      </c>
      <c r="O120" s="39"/>
      <c r="P120" s="39"/>
      <c r="Q120" s="123" t="s">
        <v>0</v>
      </c>
      <c r="R120" s="126" t="str">
        <f>IF(NOT(ISBLANK(HostBuild[Env Label])),IFERROR(VLOOKUP(HostBuild[Env Label],[1]!tEnv[#Data],3,FALSE),""),"")</f>
        <v/>
      </c>
      <c r="S120" s="104"/>
      <c r="T120" s="40"/>
      <c r="U120" s="105"/>
      <c r="V120" s="123" t="s">
        <v>37</v>
      </c>
      <c r="W120" s="123" t="s">
        <v>39</v>
      </c>
      <c r="X120" s="123" t="s">
        <v>57</v>
      </c>
      <c r="Y120" s="123" t="s">
        <v>188</v>
      </c>
      <c r="Z120" s="126" t="str">
        <f>IF(NOT(ISBLANK(HostBuild[[#This Row],[Product 
(Acronym)]])),CONCATENATE(HostBuild[[#This Row],[Type]],"-",HostBuild[[#This Row],[Product 
(Acronym)]]),"")</f>
        <v>AP-CBOL</v>
      </c>
      <c r="AA120" s="106"/>
      <c r="AB120" s="106" t="s">
        <v>76</v>
      </c>
      <c r="AC120" s="41"/>
      <c r="AD120" s="42"/>
      <c r="AE120" s="42"/>
      <c r="AF120" s="43"/>
      <c r="AG120" s="124"/>
      <c r="AH120" s="107"/>
      <c r="AI120" s="124" t="s">
        <v>38</v>
      </c>
      <c r="AJ120" s="123">
        <f>IF(COUNTIF(HostBuild[Alias],HostBuild[Alias]),1/COUNTIF(HostBuild[Alias],HostBuild[Alias]),0)</f>
        <v>1</v>
      </c>
      <c r="AK120" s="124"/>
      <c r="AL120" s="124"/>
      <c r="AM120" s="44" t="s">
        <v>101</v>
      </c>
      <c r="AN120" s="45" t="str">
        <f>IF(NOT(ISBLANK(HostBuild[Server Model])),VLOOKUP(HostBuild[Server Model],[1]!ServerModelsTier[#Data],2,FALSE),"")</f>
        <v>IBM P-Series Tier 2</v>
      </c>
      <c r="AO120" s="45" t="str">
        <f>IF(NOT(ISBLANK(HostBuild[Server Model])),VLOOKUP(HostBuild[Server Model],[1]!ServerModelsTier[#Data],5,FALSE),"")</f>
        <v>pSeries</v>
      </c>
      <c r="AP120" s="44"/>
      <c r="AQ120" s="44" t="s">
        <v>102</v>
      </c>
      <c r="AR120" s="46">
        <v>1</v>
      </c>
      <c r="AS120" s="108"/>
      <c r="AT120" s="47">
        <v>1</v>
      </c>
      <c r="AU120" s="109"/>
      <c r="AV120" s="48">
        <v>48</v>
      </c>
      <c r="AW120" s="124"/>
      <c r="AX120" s="124"/>
      <c r="AY120" s="124"/>
      <c r="AZ120" s="49"/>
      <c r="BA120" s="124"/>
      <c r="BB120" s="124"/>
      <c r="BC120" s="42"/>
      <c r="BD120" s="124"/>
      <c r="BE120" s="124"/>
      <c r="BF120" s="124"/>
      <c r="BG120" s="124"/>
      <c r="BH120" s="124"/>
      <c r="BI120" s="124"/>
      <c r="BJ120" s="124"/>
      <c r="BK120"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20" s="127">
        <v>700</v>
      </c>
      <c r="BM120" s="129">
        <f>IF(ISNUMBER(HostBuild[Recommended SAN (GB)]),HostBuild[Recommended SAN (GB)])+IF(HostBuild[Additional SAN (GB)]&gt;0,CEILING(HostBuild[Additional SAN (GB)],LUN),-(CEILING(-HostBuild[Additional SAN (GB)],LUN)))</f>
        <v>707.7</v>
      </c>
      <c r="BN120" s="128"/>
      <c r="BO120" s="129">
        <f>HostBuild[SAN (GB)
NEEDED TODAY]+CEILING(HostBuild[SAN (GB)
RESERVED
DO NOT USE TO BUILD], LUN)</f>
        <v>707.7</v>
      </c>
      <c r="BP120" s="130">
        <v>600</v>
      </c>
      <c r="BQ120" s="131"/>
      <c r="BR120" s="125" t="s">
        <v>64</v>
      </c>
      <c r="BS120" s="110">
        <f>IF(HostBuild[Existing Server?]&lt;&gt;"Yes - Inside this BoM",IF(ISNUMBER(HostBuild[RAM 
(GB)]),IF(HostBuild[Existing RAM (GB)]+HostBuild[RAM 
(GB)]&gt;0,IF(HostBuild[Virtual Platform Storage Type]="NAS",110+HostBuild[Existing RAM (GB)]+HostBuild[RAM 
(GB)]*1.75,0),0),0),0)</f>
        <v>0</v>
      </c>
      <c r="BT120" s="111"/>
      <c r="BU120" s="112">
        <f>IF(ISNUMBER(HostBuild[Recommended NAS (GB)]),HostBuild[Recommended NAS (GB)])+HostBuild[Additional NAS (GB)]</f>
        <v>0</v>
      </c>
      <c r="BV120" s="50"/>
      <c r="BW120" s="50"/>
      <c r="BX120" s="133">
        <f>IFERROR((HostBuild[SAN (GB)
End-State
DO NOT USE TO BUILD]+HostBuild[SAN (GB) Shared])*25%,"")</f>
        <v>326.92500000000001</v>
      </c>
      <c r="BY120" s="113">
        <f>IFERROR(HostBuild[Archive
Full (GB)]*15%,"")</f>
        <v>49.03875</v>
      </c>
      <c r="BZ120" s="51"/>
      <c r="CA120" s="51"/>
      <c r="CB120" s="52"/>
      <c r="CC120" s="53"/>
      <c r="CD120" s="52"/>
      <c r="CE120" s="54"/>
      <c r="CF120" s="128"/>
      <c r="CG120" s="114"/>
      <c r="CH120" s="55"/>
      <c r="CI120" s="56"/>
      <c r="CJ120" s="57"/>
      <c r="CK120" s="58"/>
      <c r="CL120" s="59">
        <f>IFERROR(IF(FIND(CL$1,$W120)&gt;0,IF(INDEX([1]!Product_Pricing_Table[#Data],MATCH(CL$1,Products,0),2)="Cores",IF(HostBuild[Use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0" s="59">
        <f>IFERROR(IF(FIND(CM$1,$W120)&gt;0,IF(INDEX([1]!Product_Pricing_Table[#Data],MATCH(CM$1,Products,0),2)="Cores",IF(HostBuild[Use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0" s="59">
        <f>IFERROR(IF(FIND(CN$1,$W120)&gt;0,IF(INDEX([1]!Product_Pricing_Table[#Data],MATCH(CN$1,Products,0),2)="Cores",IF(HostBuild[Use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0" s="59">
        <f>IFERROR(IF(FIND(CO$1,$W120)&gt;0,IF(INDEX([1]!Product_Pricing_Table[#Data],MATCH(CO$1,Products,0),2)="Cores",IF(HostBuild[Use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0" s="59">
        <f>IFERROR(IF(FIND(CP$1,$W120)&gt;0,IF(INDEX([1]!Product_Pricing_Table[#Data],MATCH(CP$1,Products,0),2)="Cores",IF(HostBuild[Use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0" s="59">
        <f>IFERROR(IF(FIND(CQ$1,$W120)&gt;0,IF(INDEX([1]!Product_Pricing_Table[#Data],MATCH(CQ$1,Products,0),2)="Cores",IF(HostBuild[Use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0" s="59">
        <f>IFERROR(IF(FIND(CR$1,$W120)&gt;0,IF(INDEX([1]!Product_Pricing_Table[#Data],MATCH(CR$1,Products,0),2)="Cores",IF(HostBuild[Use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0" s="59">
        <f>IFERROR(IF(FIND(CS$1,$W120)&gt;0,IF(INDEX([1]!Product_Pricing_Table[#Data],MATCH(CS$1,Products,0),2)="Cores",IF(HostBuild[Use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0" s="59">
        <f>IFERROR(IF(FIND(CT$1,$W120)&gt;0,IF(INDEX([1]!Product_Pricing_Table[#Data],MATCH(CT$1,Products,0),2)="Cores",IF(HostBuild[Use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0" s="59">
        <f>IFERROR(IF(FIND(CU$1,$W120)&gt;0,IF(INDEX([1]!Product_Pricing_Table[#Data],MATCH(CU$1,Products,0),2)="Cores",IF(HostBuild[Use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0" s="59">
        <f>IFERROR(IF(FIND(CV$1,$W120)&gt;0,IF(INDEX([1]!Product_Pricing_Table[#Data],MATCH(CV$1,Products,0),2)="Cores",IF(HostBuild[Use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0" s="59">
        <f>IFERROR(IF(FIND(CW$1,$W120)&gt;0,IF(INDEX([1]!Product_Pricing_Table[#Data],MATCH(CW$1,Products,0),2)="Cores",IF(HostBuild[Use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0" s="59">
        <f>IFERROR(IF(FIND(CX$1,$W120)&gt;0,IF(INDEX([1]!Product_Pricing_Table[#Data],MATCH(CX$1,Products,0),2)="Cores",IF(HostBuild[Use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0" s="59">
        <f>IFERROR(IF(FIND(CY$1,$W120)&gt;0,IF(INDEX([1]!Product_Pricing_Table[#Data],MATCH(CY$1,Products,0),2)="Cores",IF(HostBuild[Use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0" s="59">
        <f>IFERROR(IF(FIND(CZ$1,$W120)&gt;0,IF(INDEX([1]!Product_Pricing_Table[#Data],MATCH(CZ$1,Products,0),2)="Cores",IF(HostBuild[Use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0" s="59">
        <f>IFERROR(IF(FIND(DA$1,$W120)&gt;0,IF(INDEX([1]!Product_Pricing_Table[#Data],MATCH(DA$1,Products,0),2)="Cores",IF(HostBuild[Use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0" s="59">
        <f>IFERROR(IF(FIND(DB$1,$W120)&gt;0,IF(INDEX([1]!Product_Pricing_Table[#Data],MATCH(DB$1,Products,0),2)="Cores",IF(HostBuild[Use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0" s="59">
        <f>IFERROR(IF(FIND(DC$1,$W120)&gt;0,IF(INDEX([1]!Product_Pricing_Table[#Data],MATCH(DC$1,Products,0),2)="Cores",IF(HostBuild[Use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0" s="59">
        <f>IFERROR(IF(FIND(DD$1,$W120)&gt;0,IF(INDEX([1]!Product_Pricing_Table[#Data],MATCH(DD$1,Products,0),2)="Cores",IF(HostBuild[Use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0" s="59">
        <f>IFERROR(IF(FIND(DE$1,$W120)&gt;0,IF(INDEX([1]!Product_Pricing_Table[#Data],MATCH(DE$1,Products,0),2)="Cores",IF(HostBuild[Use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0" s="60">
        <f>IFERROR(IF(FIND(DF$1,$W120)&gt;0,IF(INDEX([1]!Product_Pricing_Table[#Data],MATCH(DF$1,Products,0),2)="Cores",IF(HostBuild[Use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0" s="60">
        <f>IFERROR(IF(FIND(DG$1,$W120)&gt;0,IF(INDEX([1]!Product_Pricing_Table[#Data],MATCH(DG$1,Products,0),2)="Cores",IF(HostBuild[Use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0" s="59">
        <f>IFERROR(IF(FIND(DH$1,$W120)&gt;0,IF(INDEX([1]!Product_Pricing_Table[#Data],MATCH(DH$1,Products,0),2)="Cores",IF(HostBuild[Use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0" s="60">
        <f>IFERROR(IF(FIND(DI$1,$W120)&gt;0,IF(INDEX([1]!Product_Pricing_Table[#Data],MATCH(DI$1,Products,0),2)="Cores",IF(HostBuild[Use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0" s="59">
        <f>IFERROR(IF(FIND(DJ$1,$W120)&gt;0,IF(INDEX([1]!Product_Pricing_Table[#Data],MATCH(DJ$1,Products,0),2)="Cores",IF(HostBuild[Use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0" s="59">
        <f>IFERROR(IF(FIND(DK$1,$W120)&gt;0,IF(INDEX([1]!Product_Pricing_Table[#Data],MATCH(DK$1,Products,0),2)="Cores",IF(HostBuild[Use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0" s="59">
        <f>IFERROR(IF(FIND(DL$1,$W120)&gt;0,IF(INDEX([1]!Product_Pricing_Table[#Data],MATCH(DL$1,Products,0),2)="Cores",IF(HostBuild[Use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0" s="59">
        <f>IFERROR(IF(FIND(DM$1,$W120)&gt;0,IF(INDEX([1]!Product_Pricing_Table[#Data],MATCH(DM$1,Products,0),2)="Cores",IF(HostBuild[Use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0" s="59">
        <f>IFERROR(IF(FIND(DN$1,$W120)&gt;0,IF(INDEX([1]!Product_Pricing_Table[#Data],MATCH(DN$1,Products,0),2)="Cores",IF(HostBuild[Use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0" s="59">
        <f>IFERROR(IF(FIND(DO$1,$W120)&gt;0,IF(INDEX([1]!Product_Pricing_Table[#Data],MATCH(DO$1,Products,0),2)="Cores",IF(HostBuild[Use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0" s="59">
        <f>IFERROR(IF(FIND(DP$1,$W120)&gt;0,IF(INDEX([1]!Product_Pricing_Table[#Data],MATCH(DP$1,Products,0),2)="Cores",IF(HostBuild[Use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0" s="59">
        <f>IFERROR(IF(FIND(DQ$1,$W120)&gt;0,IF(INDEX([1]!Product_Pricing_Table[#Data],MATCH(DQ$1,Products,0),2)="Cores",IF(HostBuild[Use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0" s="59">
        <f>IFERROR(IF(FIND(DR$1,$W120)&gt;0,IF(INDEX([1]!Product_Pricing_Table[#Data],MATCH(DR$1,Products,0),2)="Cores",IF(HostBuild[Use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0" s="59">
        <f>IFERROR(IF(FIND(DS$1,$W120)&gt;0,IF(INDEX([1]!Product_Pricing_Table[#Data],MATCH(DS$1,Products,0),2)="Cores",IF(HostBuild[Use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0" s="59">
        <f>IFERROR(IF(FIND(DT$1,$W120)&gt;0,IF(INDEX([1]!Product_Pricing_Table[#Data],MATCH(DT$1,Products,0),2)="Cores",IF(HostBuild[Use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0" s="59">
        <f>IFERROR(IF(FIND(DU$1,$W120)&gt;0,IF(INDEX([1]!Product_Pricing_Table[#Data],MATCH(DU$1,Products,0),2)="Cores",IF(HostBuild[Use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0" s="59">
        <f>IFERROR(IF(FIND(DV$1,$W120)&gt;0,IF(INDEX([1]!Product_Pricing_Table[#Data],MATCH(DV$1,Products,0),2)="Cores",IF(HostBuild[Use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0" s="59">
        <f>IFERROR(IF(FIND(DW$1,$W120)&gt;0,IF(INDEX([1]!Product_Pricing_Table[#Data],MATCH(DW$1,Products,0),2)="Cores",IF(HostBuild[Use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0" s="59">
        <f>IFERROR(IF(FIND(DX$1,$W120)&gt;0,IF(INDEX([1]!Product_Pricing_Table[#Data],MATCH(DX$1,Products,0),2)="Cores",IF(HostBuild[Use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0" s="59">
        <f>IFERROR(IF(FIND(DY$1,$W120)&gt;0,IF(INDEX([1]!Product_Pricing_Table[#Data],MATCH(DY$1,Products,0),2)="Cores",IF(HostBuild[Use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0" s="59">
        <f>IFERROR(IF(FIND(DZ$1,$W120)&gt;0,IF(INDEX([1]!Product_Pricing_Table[#Data],MATCH(DZ$1,Products,0),2)="Cores",IF(HostBuild[Use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0" s="59">
        <f>IFERROR(IF(FIND(EA$1,$W120)&gt;0,IF(INDEX([1]!Product_Pricing_Table[#Data],MATCH(EA$1,Products,0),2)="Cores",IF(HostBuild[Use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0" s="59">
        <f>IFERROR(IF(FIND(EB$1,$W120)&gt;0,IF(INDEX([1]!Product_Pricing_Table[#Data],MATCH(EB$1,Products,0),2)="Cores",IF(HostBuild[Use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0" s="60">
        <f>IFERROR(IF(FIND(EC$1,$W120)&gt;0,IF(INDEX([1]!Product_Pricing_Table[#Data],MATCH(EC$1,Products,0),2)="Cores",IF(HostBuild[Use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0" s="59">
        <f>IFERROR(IF(FIND(ED$1,$W120)&gt;0,IF(INDEX([1]!Product_Pricing_Table[#Data],MATCH(ED$1,Products,0),2)="Cores",IF(HostBuild[Use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0" s="59">
        <f>IFERROR(IF(FIND(EE$1,$W120)&gt;0,IF(INDEX([1]!Product_Pricing_Table[#Data],MATCH(EE$1,Products,0),2)="Cores",IF(HostBuild[Use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0" s="59">
        <f>IFERROR(IF(FIND(EF$1,$W120)&gt;0,IF(INDEX([1]!Product_Pricing_Table[#Data],MATCH(EF$1,Products,0),2)="Cores",IF(HostBuild[Use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0" s="59">
        <f>IFERROR(IF(FIND(EG$1,$W120)&gt;0,IF(INDEX([1]!Product_Pricing_Table[#Data],MATCH(EG$1,Products,0),2)="Cores",IF(HostBuild[Use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0" s="59">
        <f>IFERROR(IF(FIND(EH$1,$W120)&gt;0,IF(INDEX([1]!Product_Pricing_Table[#Data],MATCH(EH$1,Products,0),2)="Cores",IF(HostBuild[Use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0" s="59">
        <f>IFERROR(IF(FIND(EI$1,$W120)&gt;0,IF(INDEX([1]!Product_Pricing_Table[#Data],MATCH(EI$1,Products,0),2)="Cores",IF(HostBuild[Use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0" s="59">
        <f>IFERROR(IF(FIND(EJ$1,$W120)&gt;0,IF(INDEX([1]!Product_Pricing_Table[#Data],MATCH(EJ$1,Products,0),2)="Cores",IF(HostBuild[Use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0" s="60">
        <f>IFERROR(IF(FIND(EK$1,$W120)&gt;0,IF(INDEX([1]!Product_Pricing_Table[#Data],MATCH(EK$1,Products,0),2)="Cores",IF(HostBuild[Use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0" s="61"/>
      <c r="EM120" s="62"/>
      <c r="EN120" s="63"/>
      <c r="EO120" s="64">
        <f>IF(OR(ISBLANK(HostBuild[Alias]),HostBuild[Server Tier]="",),0,IF(HostBuild[Server Tier]="SafeNet",Safenet_PSE_PL600+HostBuild[Network Cost],IF(HostBuild[Server Tier]="VMware",HostBuild[New VMware (Adjusted)]+HostBuild[Initial Server Cost],IF(HostBuild[Server Tier]="XI52",IBM_DIA_XI52,HostBuild[Initial Server Cost]))))</f>
        <v>1304.0999999999999</v>
      </c>
      <c r="EP12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1739.931</v>
      </c>
      <c r="EQ120" s="132">
        <f>(HostBuild[Archive
Full (GB)]+HostBuild[Archive
Incr (GB)])*Storage_DC_Dist_Tape_2014</f>
        <v>131.5873125</v>
      </c>
      <c r="ER120" s="132">
        <f>IF(ISNUMBER(HostBuild[Server HW Costs
(Monthly)]),SUM(HostBuild[[#This Row],[Server HW Costs
(Monthly)]:[Tape Costs
(Monthly)]]),0)</f>
        <v>3175.6183124999998</v>
      </c>
      <c r="ES120" s="65">
        <f>HostBuild[Software Costs
'[Year 1']
(Monthly)]+HostBuild[Total Hardware Costs
(Monthly)]</f>
        <v>3175.6183124999998</v>
      </c>
      <c r="ET120" s="65">
        <f>IFERROR(IF(FIND("Safenet",HostBuild[Server Model]),Safenet_PSE_PL600_Maint,0),0)+IFERROR(IF(FIND("XI52",HostBuild[Server Model]),IBM_DIA_XI52_Maint,0),0)+HostBuild[Software Costs
'[After Year 1']
(Monthly)]+HostBuild[Total Hardware Costs
(Monthly)]</f>
        <v>3175.6183124999998</v>
      </c>
      <c r="EU120" s="66">
        <f>SUM(HostBuild[[#This Row],[Server Cost Breakdown]:[Network Cost]])</f>
        <v>1304.0999999999999</v>
      </c>
      <c r="EV120" s="67">
        <f>IF(HostBuild[Existing Server?]="Yes - Inside this BoM",0,SUMIF(HostBuild[Alias],HostBuild[Alias],HostBuild[CPU])+SUMIF(HostBuild[Alias],HostBuild[Alias],HostBuild[Existing CPUs]))</f>
        <v>1</v>
      </c>
      <c r="EW120" s="67">
        <f>IF(HostBuild[Existing Server?]="Yes - Inside this BoM",0,SUMIF(HostBuild[Alias],HostBuild[Alias],HostBuild[Cores 
(Licensed Units)])+SUMIF(HostBuild[Alias],HostBuild[Alias],HostBuild[Existing Cores]))</f>
        <v>1</v>
      </c>
      <c r="EX120" s="67">
        <f>IF(HostBuild[Existing Server?]="Yes - Inside this BoM",0,SUMIF(HostBuild[Alias],HostBuild[Alias],HostBuild[RAM 
(GB)])+SUMIF(HostBuild[Alias],HostBuild[Alias],HostBuild[Existing RAM (GB)]))</f>
        <v>48</v>
      </c>
      <c r="EY12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0" s="66">
        <f>IF(ISBLANK(HostBuild[Server Model]),0,IF(HostBuild[Server Tier]="VMware",0,VLOOKUP(HostBuild[Server Tier],[1]!ServerTierRates[#Data],2,0))*HostBuild[CPU]*IF(AND(HostBuild[Server Type]="pSeries",HostBuild[Virtual Platform Storage Type]="Cloud-SAN"),0.25,1))</f>
        <v>829</v>
      </c>
      <c r="FD120" s="66">
        <f>0</f>
        <v>0</v>
      </c>
      <c r="FE120" s="66">
        <f>IF(HostBuild[Server Type]="VMware",HostBuild[RAM 
(GB)]*IF(ISERROR(FIND("DevCloud", HostBuild[Server Model])&gt;0),vRAM_per_vCPU_2014_Monthly,vRAM_per_vCPU_2014_Daily*30),0)</f>
        <v>0</v>
      </c>
      <c r="FF12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288</v>
      </c>
      <c r="FG12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0" s="69">
        <f>IF(HostBuild[Server Tier]="VMware",0,IF(LEFT(HostBuild[Existing Server?],3)="Yes",0,IF(OR(HostBuild[Server Type]="Sun",HostBuild[Server Type]="pSeries"),Support_Direct_Server_Sun_per_OS_2014,IF(HostBuild[Server Type]="x86",Support_Direct_Server_x86_Wintel_per_OS_2014,0))))</f>
        <v>187.1</v>
      </c>
      <c r="FI12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1" spans="1:165" hidden="1">
      <c r="A121" s="122" t="s">
        <v>53</v>
      </c>
      <c r="B121" s="36"/>
      <c r="C121" s="36"/>
      <c r="D121" s="36"/>
      <c r="E121" s="37"/>
      <c r="F121" s="37"/>
      <c r="G121" s="103"/>
      <c r="H121" s="103"/>
      <c r="I121" s="38"/>
      <c r="J121" s="37"/>
      <c r="K121" s="37"/>
      <c r="L121" s="37"/>
      <c r="M121" s="103" t="e">
        <f ca="1">IF(rngIsDate(HostBuild[CTO Acceptance]),"Y","N")</f>
        <v>#NAME?</v>
      </c>
      <c r="N121" s="123" t="s">
        <v>4</v>
      </c>
      <c r="O121" s="39"/>
      <c r="P121" s="39"/>
      <c r="Q121" s="123" t="s">
        <v>0</v>
      </c>
      <c r="R121" s="126" t="str">
        <f>IF(NOT(ISBLANK(HostBuild[Env Label])),IFERROR(VLOOKUP(HostBuild[Env Label],[1]!tEnv[#Data],3,FALSE),""),"")</f>
        <v/>
      </c>
      <c r="S121" s="104"/>
      <c r="T121" s="40"/>
      <c r="U121" s="105"/>
      <c r="V121" s="123" t="s">
        <v>37</v>
      </c>
      <c r="W121" s="123" t="s">
        <v>39</v>
      </c>
      <c r="X121" s="123" t="s">
        <v>57</v>
      </c>
      <c r="Y121" s="123" t="s">
        <v>188</v>
      </c>
      <c r="Z121" s="126" t="str">
        <f>IF(NOT(ISBLANK(HostBuild[[#This Row],[Product 
(Acronym)]])),CONCATENATE(HostBuild[[#This Row],[Type]],"-",HostBuild[[#This Row],[Product 
(Acronym)]]),"")</f>
        <v>AP-CBOL</v>
      </c>
      <c r="AA121" s="106"/>
      <c r="AB121" s="106" t="s">
        <v>76</v>
      </c>
      <c r="AC121" s="41"/>
      <c r="AD121" s="42"/>
      <c r="AE121" s="42"/>
      <c r="AF121" s="43"/>
      <c r="AG121" s="124"/>
      <c r="AH121" s="107"/>
      <c r="AI121" s="124" t="s">
        <v>40</v>
      </c>
      <c r="AJ121" s="123">
        <f>IF(COUNTIF(HostBuild[Alias],HostBuild[Alias]),1/COUNTIF(HostBuild[Alias],HostBuild[Alias]),0)</f>
        <v>1</v>
      </c>
      <c r="AK121" s="124"/>
      <c r="AL121" s="124"/>
      <c r="AM121" s="44" t="s">
        <v>101</v>
      </c>
      <c r="AN121" s="45" t="str">
        <f>IF(NOT(ISBLANK(HostBuild[Server Model])),VLOOKUP(HostBuild[Server Model],[1]!ServerModelsTier[#Data],2,FALSE),"")</f>
        <v>IBM P-Series Tier 2</v>
      </c>
      <c r="AO121" s="45" t="str">
        <f>IF(NOT(ISBLANK(HostBuild[Server Model])),VLOOKUP(HostBuild[Server Model],[1]!ServerModelsTier[#Data],5,FALSE),"")</f>
        <v>pSeries</v>
      </c>
      <c r="AP121" s="44"/>
      <c r="AQ121" s="44" t="s">
        <v>102</v>
      </c>
      <c r="AR121" s="46">
        <v>1</v>
      </c>
      <c r="AS121" s="108"/>
      <c r="AT121" s="47">
        <v>1</v>
      </c>
      <c r="AU121" s="109"/>
      <c r="AV121" s="48">
        <v>48</v>
      </c>
      <c r="AW121" s="124"/>
      <c r="AX121" s="124"/>
      <c r="AY121" s="124"/>
      <c r="AZ121" s="49"/>
      <c r="BA121" s="124"/>
      <c r="BB121" s="124"/>
      <c r="BC121" s="42"/>
      <c r="BD121" s="124"/>
      <c r="BE121" s="124"/>
      <c r="BF121" s="124"/>
      <c r="BG121" s="124"/>
      <c r="BH121" s="124"/>
      <c r="BI121" s="124"/>
      <c r="BJ121" s="124"/>
      <c r="BK121"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21" s="127">
        <v>100</v>
      </c>
      <c r="BM121" s="129">
        <f>IF(ISNUMBER(HostBuild[Recommended SAN (GB)]),HostBuild[Recommended SAN (GB)])+IF(HostBuild[Additional SAN (GB)]&gt;0,CEILING(HostBuild[Additional SAN (GB)],LUN),-(CEILING(-HostBuild[Additional SAN (GB)],LUN)))</f>
        <v>101.10000000000001</v>
      </c>
      <c r="BN121" s="128"/>
      <c r="BO121" s="129">
        <f>HostBuild[SAN (GB)
NEEDED TODAY]+CEILING(HostBuild[SAN (GB)
RESERVED
DO NOT USE TO BUILD], LUN)</f>
        <v>101.10000000000001</v>
      </c>
      <c r="BP121" s="130"/>
      <c r="BQ121" s="131"/>
      <c r="BR121" s="125" t="s">
        <v>64</v>
      </c>
      <c r="BS121" s="110">
        <f>IF(HostBuild[Existing Server?]&lt;&gt;"Yes - Inside this BoM",IF(ISNUMBER(HostBuild[RAM 
(GB)]),IF(HostBuild[Existing RAM (GB)]+HostBuild[RAM 
(GB)]&gt;0,IF(HostBuild[Virtual Platform Storage Type]="NAS",110+HostBuild[Existing RAM (GB)]+HostBuild[RAM 
(GB)]*1.75,0),0),0),0)</f>
        <v>0</v>
      </c>
      <c r="BT121" s="111"/>
      <c r="BU121" s="112">
        <f>IF(ISNUMBER(HostBuild[Recommended NAS (GB)]),HostBuild[Recommended NAS (GB)])+HostBuild[Additional NAS (GB)]</f>
        <v>0</v>
      </c>
      <c r="BV121" s="50"/>
      <c r="BW121" s="50"/>
      <c r="BX121" s="133">
        <f>IFERROR((HostBuild[SAN (GB)
End-State
DO NOT USE TO BUILD]+HostBuild[SAN (GB) Shared])*25%,"")</f>
        <v>25.275000000000002</v>
      </c>
      <c r="BY121" s="113">
        <f>IFERROR(HostBuild[Archive
Full (GB)]*15%,"")</f>
        <v>3.7912500000000002</v>
      </c>
      <c r="BZ121" s="51"/>
      <c r="CA121" s="51"/>
      <c r="CB121" s="52"/>
      <c r="CC121" s="53"/>
      <c r="CD121" s="52"/>
      <c r="CE121" s="54"/>
      <c r="CF121" s="128"/>
      <c r="CG121" s="114"/>
      <c r="CH121" s="55"/>
      <c r="CI121" s="56"/>
      <c r="CJ121" s="57"/>
      <c r="CK121" s="58"/>
      <c r="CL121" s="59">
        <f>IFERROR(IF(FIND(CL$1,$W121)&gt;0,IF(INDEX([1]!Product_Pricing_Table[#Data],MATCH(CL$1,Products,0),2)="Cores",IF(HostBuild[Use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1" s="59">
        <f>IFERROR(IF(FIND(CM$1,$W121)&gt;0,IF(INDEX([1]!Product_Pricing_Table[#Data],MATCH(CM$1,Products,0),2)="Cores",IF(HostBuild[Use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1" s="59">
        <f>IFERROR(IF(FIND(CN$1,$W121)&gt;0,IF(INDEX([1]!Product_Pricing_Table[#Data],MATCH(CN$1,Products,0),2)="Cores",IF(HostBuild[Use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1" s="59">
        <f>IFERROR(IF(FIND(CO$1,$W121)&gt;0,IF(INDEX([1]!Product_Pricing_Table[#Data],MATCH(CO$1,Products,0),2)="Cores",IF(HostBuild[Use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1" s="59">
        <f>IFERROR(IF(FIND(CP$1,$W121)&gt;0,IF(INDEX([1]!Product_Pricing_Table[#Data],MATCH(CP$1,Products,0),2)="Cores",IF(HostBuild[Use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1" s="59">
        <f>IFERROR(IF(FIND(CQ$1,$W121)&gt;0,IF(INDEX([1]!Product_Pricing_Table[#Data],MATCH(CQ$1,Products,0),2)="Cores",IF(HostBuild[Use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1" s="59">
        <f>IFERROR(IF(FIND(CR$1,$W121)&gt;0,IF(INDEX([1]!Product_Pricing_Table[#Data],MATCH(CR$1,Products,0),2)="Cores",IF(HostBuild[Use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1" s="59">
        <f>IFERROR(IF(FIND(CS$1,$W121)&gt;0,IF(INDEX([1]!Product_Pricing_Table[#Data],MATCH(CS$1,Products,0),2)="Cores",IF(HostBuild[Use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1" s="59">
        <f>IFERROR(IF(FIND(CT$1,$W121)&gt;0,IF(INDEX([1]!Product_Pricing_Table[#Data],MATCH(CT$1,Products,0),2)="Cores",IF(HostBuild[Use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1" s="59">
        <f>IFERROR(IF(FIND(CU$1,$W121)&gt;0,IF(INDEX([1]!Product_Pricing_Table[#Data],MATCH(CU$1,Products,0),2)="Cores",IF(HostBuild[Use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1" s="59">
        <f>IFERROR(IF(FIND(CV$1,$W121)&gt;0,IF(INDEX([1]!Product_Pricing_Table[#Data],MATCH(CV$1,Products,0),2)="Cores",IF(HostBuild[Use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1" s="59">
        <f>IFERROR(IF(FIND(CW$1,$W121)&gt;0,IF(INDEX([1]!Product_Pricing_Table[#Data],MATCH(CW$1,Products,0),2)="Cores",IF(HostBuild[Use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1" s="59">
        <f>IFERROR(IF(FIND(CX$1,$W121)&gt;0,IF(INDEX([1]!Product_Pricing_Table[#Data],MATCH(CX$1,Products,0),2)="Cores",IF(HostBuild[Use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1" s="59">
        <f>IFERROR(IF(FIND(CY$1,$W121)&gt;0,IF(INDEX([1]!Product_Pricing_Table[#Data],MATCH(CY$1,Products,0),2)="Cores",IF(HostBuild[Use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1" s="59">
        <f>IFERROR(IF(FIND(CZ$1,$W121)&gt;0,IF(INDEX([1]!Product_Pricing_Table[#Data],MATCH(CZ$1,Products,0),2)="Cores",IF(HostBuild[Use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1" s="59">
        <f>IFERROR(IF(FIND(DA$1,$W121)&gt;0,IF(INDEX([1]!Product_Pricing_Table[#Data],MATCH(DA$1,Products,0),2)="Cores",IF(HostBuild[Use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1" s="59">
        <f>IFERROR(IF(FIND(DB$1,$W121)&gt;0,IF(INDEX([1]!Product_Pricing_Table[#Data],MATCH(DB$1,Products,0),2)="Cores",IF(HostBuild[Use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1" s="59">
        <f>IFERROR(IF(FIND(DC$1,$W121)&gt;0,IF(INDEX([1]!Product_Pricing_Table[#Data],MATCH(DC$1,Products,0),2)="Cores",IF(HostBuild[Use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1" s="59">
        <f>IFERROR(IF(FIND(DD$1,$W121)&gt;0,IF(INDEX([1]!Product_Pricing_Table[#Data],MATCH(DD$1,Products,0),2)="Cores",IF(HostBuild[Use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1" s="59">
        <f>IFERROR(IF(FIND(DE$1,$W121)&gt;0,IF(INDEX([1]!Product_Pricing_Table[#Data],MATCH(DE$1,Products,0),2)="Cores",IF(HostBuild[Use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1" s="60">
        <f>IFERROR(IF(FIND(DF$1,$W121)&gt;0,IF(INDEX([1]!Product_Pricing_Table[#Data],MATCH(DF$1,Products,0),2)="Cores",IF(HostBuild[Use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1" s="60">
        <f>IFERROR(IF(FIND(DG$1,$W121)&gt;0,IF(INDEX([1]!Product_Pricing_Table[#Data],MATCH(DG$1,Products,0),2)="Cores",IF(HostBuild[Use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1" s="59">
        <f>IFERROR(IF(FIND(DH$1,$W121)&gt;0,IF(INDEX([1]!Product_Pricing_Table[#Data],MATCH(DH$1,Products,0),2)="Cores",IF(HostBuild[Use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1" s="60">
        <f>IFERROR(IF(FIND(DI$1,$W121)&gt;0,IF(INDEX([1]!Product_Pricing_Table[#Data],MATCH(DI$1,Products,0),2)="Cores",IF(HostBuild[Use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1" s="59">
        <f>IFERROR(IF(FIND(DJ$1,$W121)&gt;0,IF(INDEX([1]!Product_Pricing_Table[#Data],MATCH(DJ$1,Products,0),2)="Cores",IF(HostBuild[Use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1" s="59">
        <f>IFERROR(IF(FIND(DK$1,$W121)&gt;0,IF(INDEX([1]!Product_Pricing_Table[#Data],MATCH(DK$1,Products,0),2)="Cores",IF(HostBuild[Use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1" s="59">
        <f>IFERROR(IF(FIND(DL$1,$W121)&gt;0,IF(INDEX([1]!Product_Pricing_Table[#Data],MATCH(DL$1,Products,0),2)="Cores",IF(HostBuild[Use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1" s="59">
        <f>IFERROR(IF(FIND(DM$1,$W121)&gt;0,IF(INDEX([1]!Product_Pricing_Table[#Data],MATCH(DM$1,Products,0),2)="Cores",IF(HostBuild[Use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1" s="59">
        <f>IFERROR(IF(FIND(DN$1,$W121)&gt;0,IF(INDEX([1]!Product_Pricing_Table[#Data],MATCH(DN$1,Products,0),2)="Cores",IF(HostBuild[Use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1" s="59">
        <f>IFERROR(IF(FIND(DO$1,$W121)&gt;0,IF(INDEX([1]!Product_Pricing_Table[#Data],MATCH(DO$1,Products,0),2)="Cores",IF(HostBuild[Use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1" s="59">
        <f>IFERROR(IF(FIND(DP$1,$W121)&gt;0,IF(INDEX([1]!Product_Pricing_Table[#Data],MATCH(DP$1,Products,0),2)="Cores",IF(HostBuild[Use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1" s="59">
        <f>IFERROR(IF(FIND(DQ$1,$W121)&gt;0,IF(INDEX([1]!Product_Pricing_Table[#Data],MATCH(DQ$1,Products,0),2)="Cores",IF(HostBuild[Use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1" s="59">
        <f>IFERROR(IF(FIND(DR$1,$W121)&gt;0,IF(INDEX([1]!Product_Pricing_Table[#Data],MATCH(DR$1,Products,0),2)="Cores",IF(HostBuild[Use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1" s="59">
        <f>IFERROR(IF(FIND(DS$1,$W121)&gt;0,IF(INDEX([1]!Product_Pricing_Table[#Data],MATCH(DS$1,Products,0),2)="Cores",IF(HostBuild[Use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1" s="59">
        <f>IFERROR(IF(FIND(DT$1,$W121)&gt;0,IF(INDEX([1]!Product_Pricing_Table[#Data],MATCH(DT$1,Products,0),2)="Cores",IF(HostBuild[Use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1" s="59">
        <f>IFERROR(IF(FIND(DU$1,$W121)&gt;0,IF(INDEX([1]!Product_Pricing_Table[#Data],MATCH(DU$1,Products,0),2)="Cores",IF(HostBuild[Use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1" s="59">
        <f>IFERROR(IF(FIND(DV$1,$W121)&gt;0,IF(INDEX([1]!Product_Pricing_Table[#Data],MATCH(DV$1,Products,0),2)="Cores",IF(HostBuild[Use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1" s="59">
        <f>IFERROR(IF(FIND(DW$1,$W121)&gt;0,IF(INDEX([1]!Product_Pricing_Table[#Data],MATCH(DW$1,Products,0),2)="Cores",IF(HostBuild[Use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1" s="59">
        <f>IFERROR(IF(FIND(DX$1,$W121)&gt;0,IF(INDEX([1]!Product_Pricing_Table[#Data],MATCH(DX$1,Products,0),2)="Cores",IF(HostBuild[Use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1" s="59">
        <f>IFERROR(IF(FIND(DY$1,$W121)&gt;0,IF(INDEX([1]!Product_Pricing_Table[#Data],MATCH(DY$1,Products,0),2)="Cores",IF(HostBuild[Use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1" s="59">
        <f>IFERROR(IF(FIND(DZ$1,$W121)&gt;0,IF(INDEX([1]!Product_Pricing_Table[#Data],MATCH(DZ$1,Products,0),2)="Cores",IF(HostBuild[Use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1" s="59">
        <f>IFERROR(IF(FIND(EA$1,$W121)&gt;0,IF(INDEX([1]!Product_Pricing_Table[#Data],MATCH(EA$1,Products,0),2)="Cores",IF(HostBuild[Use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1" s="59">
        <f>IFERROR(IF(FIND(EB$1,$W121)&gt;0,IF(INDEX([1]!Product_Pricing_Table[#Data],MATCH(EB$1,Products,0),2)="Cores",IF(HostBuild[Use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1" s="60">
        <f>IFERROR(IF(FIND(EC$1,$W121)&gt;0,IF(INDEX([1]!Product_Pricing_Table[#Data],MATCH(EC$1,Products,0),2)="Cores",IF(HostBuild[Use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1" s="59">
        <f>IFERROR(IF(FIND(ED$1,$W121)&gt;0,IF(INDEX([1]!Product_Pricing_Table[#Data],MATCH(ED$1,Products,0),2)="Cores",IF(HostBuild[Use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1" s="59">
        <f>IFERROR(IF(FIND(EE$1,$W121)&gt;0,IF(INDEX([1]!Product_Pricing_Table[#Data],MATCH(EE$1,Products,0),2)="Cores",IF(HostBuild[Use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1" s="59">
        <f>IFERROR(IF(FIND(EF$1,$W121)&gt;0,IF(INDEX([1]!Product_Pricing_Table[#Data],MATCH(EF$1,Products,0),2)="Cores",IF(HostBuild[Use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1" s="59">
        <f>IFERROR(IF(FIND(EG$1,$W121)&gt;0,IF(INDEX([1]!Product_Pricing_Table[#Data],MATCH(EG$1,Products,0),2)="Cores",IF(HostBuild[Use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1" s="59">
        <f>IFERROR(IF(FIND(EH$1,$W121)&gt;0,IF(INDEX([1]!Product_Pricing_Table[#Data],MATCH(EH$1,Products,0),2)="Cores",IF(HostBuild[Use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1" s="59">
        <f>IFERROR(IF(FIND(EI$1,$W121)&gt;0,IF(INDEX([1]!Product_Pricing_Table[#Data],MATCH(EI$1,Products,0),2)="Cores",IF(HostBuild[Use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1" s="59">
        <f>IFERROR(IF(FIND(EJ$1,$W121)&gt;0,IF(INDEX([1]!Product_Pricing_Table[#Data],MATCH(EJ$1,Products,0),2)="Cores",IF(HostBuild[Use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1" s="60">
        <f>IFERROR(IF(FIND(EK$1,$W121)&gt;0,IF(INDEX([1]!Product_Pricing_Table[#Data],MATCH(EK$1,Products,0),2)="Cores",IF(HostBuild[Use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1" s="61"/>
      <c r="EM121" s="62"/>
      <c r="EN121" s="63"/>
      <c r="EO121" s="64">
        <f>IF(OR(ISBLANK(HostBuild[Alias]),HostBuild[Server Tier]="",),0,IF(HostBuild[Server Tier]="SafeNet",Safenet_PSE_PL600+HostBuild[Network Cost],IF(HostBuild[Server Tier]="VMware",HostBuild[New VMware (Adjusted)]+HostBuild[Initial Server Cost],IF(HostBuild[Server Tier]="XI52",IBM_DIA_XI52,HostBuild[Initial Server Cost]))))</f>
        <v>1304.0999999999999</v>
      </c>
      <c r="EP12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108.17700000000001</v>
      </c>
      <c r="EQ121" s="132">
        <f>(HostBuild[Archive
Full (GB)]+HostBuild[Archive
Incr (GB)])*Storage_DC_Dist_Tape_2014</f>
        <v>10.173187500000001</v>
      </c>
      <c r="ER121" s="132">
        <f>IF(ISNUMBER(HostBuild[Server HW Costs
(Monthly)]),SUM(HostBuild[[#This Row],[Server HW Costs
(Monthly)]:[Tape Costs
(Monthly)]]),0)</f>
        <v>1422.4501874999999</v>
      </c>
      <c r="ES121" s="65">
        <f>HostBuild[Software Costs
'[Year 1']
(Monthly)]+HostBuild[Total Hardware Costs
(Monthly)]</f>
        <v>1422.4501874999999</v>
      </c>
      <c r="ET121" s="65">
        <f>IFERROR(IF(FIND("Safenet",HostBuild[Server Model]),Safenet_PSE_PL600_Maint,0),0)+IFERROR(IF(FIND("XI52",HostBuild[Server Model]),IBM_DIA_XI52_Maint,0),0)+HostBuild[Software Costs
'[After Year 1']
(Monthly)]+HostBuild[Total Hardware Costs
(Monthly)]</f>
        <v>1422.4501874999999</v>
      </c>
      <c r="EU121" s="66">
        <f>SUM(HostBuild[[#This Row],[Server Cost Breakdown]:[Network Cost]])</f>
        <v>1304.0999999999999</v>
      </c>
      <c r="EV121" s="67">
        <f>IF(HostBuild[Existing Server?]="Yes - Inside this BoM",0,SUMIF(HostBuild[Alias],HostBuild[Alias],HostBuild[CPU])+SUMIF(HostBuild[Alias],HostBuild[Alias],HostBuild[Existing CPUs]))</f>
        <v>1</v>
      </c>
      <c r="EW121" s="67">
        <f>IF(HostBuild[Existing Server?]="Yes - Inside this BoM",0,SUMIF(HostBuild[Alias],HostBuild[Alias],HostBuild[Cores 
(Licensed Units)])+SUMIF(HostBuild[Alias],HostBuild[Alias],HostBuild[Existing Cores]))</f>
        <v>1</v>
      </c>
      <c r="EX121" s="67">
        <f>IF(HostBuild[Existing Server?]="Yes - Inside this BoM",0,SUMIF(HostBuild[Alias],HostBuild[Alias],HostBuild[RAM 
(GB)])+SUMIF(HostBuild[Alias],HostBuild[Alias],HostBuild[Existing RAM (GB)]))</f>
        <v>48</v>
      </c>
      <c r="EY12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1" s="66">
        <f>IF(ISBLANK(HostBuild[Server Model]),0,IF(HostBuild[Server Tier]="VMware",0,VLOOKUP(HostBuild[Server Tier],[1]!ServerTierRates[#Data],2,0))*HostBuild[CPU]*IF(AND(HostBuild[Server Type]="pSeries",HostBuild[Virtual Platform Storage Type]="Cloud-SAN"),0.25,1))</f>
        <v>829</v>
      </c>
      <c r="FD121" s="66">
        <f>0</f>
        <v>0</v>
      </c>
      <c r="FE121" s="66">
        <f>IF(HostBuild[Server Type]="VMware",HostBuild[RAM 
(GB)]*IF(ISERROR(FIND("DevCloud", HostBuild[Server Model])&gt;0),vRAM_per_vCPU_2014_Monthly,vRAM_per_vCPU_2014_Daily*30),0)</f>
        <v>0</v>
      </c>
      <c r="FF12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288</v>
      </c>
      <c r="FG12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1" s="69">
        <f>IF(HostBuild[Server Tier]="VMware",0,IF(LEFT(HostBuild[Existing Server?],3)="Yes",0,IF(OR(HostBuild[Server Type]="Sun",HostBuild[Server Type]="pSeries"),Support_Direct_Server_Sun_per_OS_2014,IF(HostBuild[Server Type]="x86",Support_Direct_Server_x86_Wintel_per_OS_2014,0))))</f>
        <v>187.1</v>
      </c>
      <c r="FI12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2" spans="1:165" hidden="1">
      <c r="A122" s="122" t="s">
        <v>53</v>
      </c>
      <c r="B122" s="36"/>
      <c r="C122" s="36"/>
      <c r="D122" s="36"/>
      <c r="E122" s="37"/>
      <c r="F122" s="37"/>
      <c r="G122" s="103"/>
      <c r="H122" s="103"/>
      <c r="I122" s="38"/>
      <c r="J122" s="37"/>
      <c r="K122" s="37"/>
      <c r="L122" s="37"/>
      <c r="M122" s="103" t="e">
        <f ca="1">IF(rngIsDate(HostBuild[CTO Acceptance]),"Y","N")</f>
        <v>#NAME?</v>
      </c>
      <c r="N122" s="123" t="s">
        <v>4</v>
      </c>
      <c r="O122" s="39"/>
      <c r="P122" s="39"/>
      <c r="Q122" s="123" t="s">
        <v>0</v>
      </c>
      <c r="R122" s="126" t="str">
        <f>IF(NOT(ISBLANK(HostBuild[Env Label])),IFERROR(VLOOKUP(HostBuild[Env Label],[1]!tEnv[#Data],3,FALSE),""),"")</f>
        <v/>
      </c>
      <c r="S122" s="104"/>
      <c r="T122" s="40"/>
      <c r="U122" s="105"/>
      <c r="V122" s="123" t="s">
        <v>41</v>
      </c>
      <c r="W122" s="123" t="s">
        <v>43</v>
      </c>
      <c r="X122" s="123" t="s">
        <v>57</v>
      </c>
      <c r="Y122" s="123" t="s">
        <v>188</v>
      </c>
      <c r="Z122" s="126" t="str">
        <f>IF(NOT(ISBLANK(HostBuild[[#This Row],[Product 
(Acronym)]])),CONCATENATE(HostBuild[[#This Row],[Type]],"-",HostBuild[[#This Row],[Product 
(Acronym)]]),"")</f>
        <v>AP-CBOL</v>
      </c>
      <c r="AA122" s="106"/>
      <c r="AB122" s="106" t="s">
        <v>59</v>
      </c>
      <c r="AC122" s="41"/>
      <c r="AD122" s="42"/>
      <c r="AE122" s="42"/>
      <c r="AF122" s="43" t="s">
        <v>60</v>
      </c>
      <c r="AG122" s="124"/>
      <c r="AH122" s="107"/>
      <c r="AI122" s="124" t="s">
        <v>42</v>
      </c>
      <c r="AJ122" s="123">
        <f>IF(COUNTIF(HostBuild[Alias],HostBuild[Alias]),1/COUNTIF(HostBuild[Alias],HostBuild[Alias]),0)</f>
        <v>1</v>
      </c>
      <c r="AK122" s="124"/>
      <c r="AL122" s="124"/>
      <c r="AM122" s="44" t="s">
        <v>101</v>
      </c>
      <c r="AN122" s="45" t="str">
        <f>IF(NOT(ISBLANK(HostBuild[Server Model])),VLOOKUP(HostBuild[Server Model],[1]!ServerModelsTier[#Data],2,FALSE),"")</f>
        <v>IBM P-Series Tier 2</v>
      </c>
      <c r="AO122" s="45" t="str">
        <f>IF(NOT(ISBLANK(HostBuild[Server Model])),VLOOKUP(HostBuild[Server Model],[1]!ServerModelsTier[#Data],5,FALSE),"")</f>
        <v>pSeries</v>
      </c>
      <c r="AP122" s="44"/>
      <c r="AQ122" s="44" t="s">
        <v>102</v>
      </c>
      <c r="AR122" s="46">
        <v>1</v>
      </c>
      <c r="AS122" s="108"/>
      <c r="AT122" s="47">
        <v>2</v>
      </c>
      <c r="AU122" s="109"/>
      <c r="AV122" s="48">
        <v>16</v>
      </c>
      <c r="AW122" s="124"/>
      <c r="AX122" s="124"/>
      <c r="AY122" s="124"/>
      <c r="AZ122" s="49"/>
      <c r="BA122" s="124"/>
      <c r="BB122" s="124"/>
      <c r="BC122" s="42"/>
      <c r="BD122" s="124"/>
      <c r="BE122" s="124"/>
      <c r="BF122" s="124"/>
      <c r="BG122" s="124"/>
      <c r="BH122" s="124"/>
      <c r="BI122" s="124"/>
      <c r="BJ122" s="124"/>
      <c r="BK122"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22" s="127">
        <v>100</v>
      </c>
      <c r="BM122" s="129">
        <f>IF(ISNUMBER(HostBuild[Recommended SAN (GB)]),HostBuild[Recommended SAN (GB)])+IF(HostBuild[Additional SAN (GB)]&gt;0,CEILING(HostBuild[Additional SAN (GB)],LUN),-(CEILING(-HostBuild[Additional SAN (GB)],LUN)))</f>
        <v>101.10000000000001</v>
      </c>
      <c r="BN122" s="128"/>
      <c r="BO122" s="129">
        <f>HostBuild[SAN (GB)
NEEDED TODAY]+CEILING(HostBuild[SAN (GB)
RESERVED
DO NOT USE TO BUILD], LUN)</f>
        <v>101.10000000000001</v>
      </c>
      <c r="BP122" s="130"/>
      <c r="BQ122" s="131"/>
      <c r="BR122" s="125" t="s">
        <v>64</v>
      </c>
      <c r="BS122" s="110">
        <f>IF(HostBuild[Existing Server?]&lt;&gt;"Yes - Inside this BoM",IF(ISNUMBER(HostBuild[RAM 
(GB)]),IF(HostBuild[Existing RAM (GB)]+HostBuild[RAM 
(GB)]&gt;0,IF(HostBuild[Virtual Platform Storage Type]="NAS",110+HostBuild[Existing RAM (GB)]+HostBuild[RAM 
(GB)]*1.75,0),0),0),0)</f>
        <v>0</v>
      </c>
      <c r="BT122" s="111"/>
      <c r="BU122" s="112">
        <f>IF(ISNUMBER(HostBuild[Recommended NAS (GB)]),HostBuild[Recommended NAS (GB)])+HostBuild[Additional NAS (GB)]</f>
        <v>0</v>
      </c>
      <c r="BV122" s="50"/>
      <c r="BW122" s="50"/>
      <c r="BX122" s="133">
        <f>IFERROR((HostBuild[SAN (GB)
End-State
DO NOT USE TO BUILD]+HostBuild[SAN (GB) Shared])*25%,"")</f>
        <v>25.275000000000002</v>
      </c>
      <c r="BY122" s="113">
        <f>IFERROR(HostBuild[Archive
Full (GB)]*15%,"")</f>
        <v>3.7912500000000002</v>
      </c>
      <c r="BZ122" s="51"/>
      <c r="CA122" s="51"/>
      <c r="CB122" s="52"/>
      <c r="CC122" s="53"/>
      <c r="CD122" s="52"/>
      <c r="CE122" s="54"/>
      <c r="CF122" s="128"/>
      <c r="CG122" s="114"/>
      <c r="CH122" s="55"/>
      <c r="CI122" s="56"/>
      <c r="CJ122" s="57"/>
      <c r="CK122" s="58"/>
      <c r="CL122" s="59">
        <f>IFERROR(IF(FIND(CL$1,$W122)&gt;0,IF(INDEX([1]!Product_Pricing_Table[#Data],MATCH(CL$1,Products,0),2)="Cores",IF(HostBuild[Use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2" s="59">
        <f>IFERROR(IF(FIND(CM$1,$W122)&gt;0,IF(INDEX([1]!Product_Pricing_Table[#Data],MATCH(CM$1,Products,0),2)="Cores",IF(HostBuild[Use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2" s="59">
        <f>IFERROR(IF(FIND(CN$1,$W122)&gt;0,IF(INDEX([1]!Product_Pricing_Table[#Data],MATCH(CN$1,Products,0),2)="Cores",IF(HostBuild[Use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2" s="59">
        <f>IFERROR(IF(FIND(CO$1,$W122)&gt;0,IF(INDEX([1]!Product_Pricing_Table[#Data],MATCH(CO$1,Products,0),2)="Cores",IF(HostBuild[Use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2" s="59">
        <f>IFERROR(IF(FIND(CP$1,$W122)&gt;0,IF(INDEX([1]!Product_Pricing_Table[#Data],MATCH(CP$1,Products,0),2)="Cores",IF(HostBuild[Use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2" s="59">
        <f>IFERROR(IF(FIND(CQ$1,$W122)&gt;0,IF(INDEX([1]!Product_Pricing_Table[#Data],MATCH(CQ$1,Products,0),2)="Cores",IF(HostBuild[Use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2" s="59">
        <f>IFERROR(IF(FIND(CR$1,$W122)&gt;0,IF(INDEX([1]!Product_Pricing_Table[#Data],MATCH(CR$1,Products,0),2)="Cores",IF(HostBuild[Use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2" s="59">
        <f>IFERROR(IF(FIND(CS$1,$W122)&gt;0,IF(INDEX([1]!Product_Pricing_Table[#Data],MATCH(CS$1,Products,0),2)="Cores",IF(HostBuild[Use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2" s="59">
        <f>IFERROR(IF(FIND(CT$1,$W122)&gt;0,IF(INDEX([1]!Product_Pricing_Table[#Data],MATCH(CT$1,Products,0),2)="Cores",IF(HostBuild[Use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2" s="59">
        <f>IFERROR(IF(FIND(CU$1,$W122)&gt;0,IF(INDEX([1]!Product_Pricing_Table[#Data],MATCH(CU$1,Products,0),2)="Cores",IF(HostBuild[Use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2" s="59">
        <f>IFERROR(IF(FIND(CV$1,$W122)&gt;0,IF(INDEX([1]!Product_Pricing_Table[#Data],MATCH(CV$1,Products,0),2)="Cores",IF(HostBuild[Use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2" s="59">
        <f>IFERROR(IF(FIND(CW$1,$W122)&gt;0,IF(INDEX([1]!Product_Pricing_Table[#Data],MATCH(CW$1,Products,0),2)="Cores",IF(HostBuild[Use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2" s="59">
        <f>IFERROR(IF(FIND(CX$1,$W122)&gt;0,IF(INDEX([1]!Product_Pricing_Table[#Data],MATCH(CX$1,Products,0),2)="Cores",IF(HostBuild[Use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2" s="59">
        <f>IFERROR(IF(FIND(CY$1,$W122)&gt;0,IF(INDEX([1]!Product_Pricing_Table[#Data],MATCH(CY$1,Products,0),2)="Cores",IF(HostBuild[Use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2" s="59">
        <f>IFERROR(IF(FIND(CZ$1,$W122)&gt;0,IF(INDEX([1]!Product_Pricing_Table[#Data],MATCH(CZ$1,Products,0),2)="Cores",IF(HostBuild[Use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2" s="59">
        <f>IFERROR(IF(FIND(DA$1,$W122)&gt;0,IF(INDEX([1]!Product_Pricing_Table[#Data],MATCH(DA$1,Products,0),2)="Cores",IF(HostBuild[Use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2" s="59">
        <f>IFERROR(IF(FIND(DB$1,$W122)&gt;0,IF(INDEX([1]!Product_Pricing_Table[#Data],MATCH(DB$1,Products,0),2)="Cores",IF(HostBuild[Use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2" s="59">
        <f>IFERROR(IF(FIND(DC$1,$W122)&gt;0,IF(INDEX([1]!Product_Pricing_Table[#Data],MATCH(DC$1,Products,0),2)="Cores",IF(HostBuild[Use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2" s="59">
        <f>IFERROR(IF(FIND(DD$1,$W122)&gt;0,IF(INDEX([1]!Product_Pricing_Table[#Data],MATCH(DD$1,Products,0),2)="Cores",IF(HostBuild[Use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2" s="59">
        <f>IFERROR(IF(FIND(DE$1,$W122)&gt;0,IF(INDEX([1]!Product_Pricing_Table[#Data],MATCH(DE$1,Products,0),2)="Cores",IF(HostBuild[Use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2" s="60">
        <f>IFERROR(IF(FIND(DF$1,$W122)&gt;0,IF(INDEX([1]!Product_Pricing_Table[#Data],MATCH(DF$1,Products,0),2)="Cores",IF(HostBuild[Use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2" s="60">
        <f>IFERROR(IF(FIND(DG$1,$W122)&gt;0,IF(INDEX([1]!Product_Pricing_Table[#Data],MATCH(DG$1,Products,0),2)="Cores",IF(HostBuild[Use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2" s="59">
        <f>IFERROR(IF(FIND(DH$1,$W122)&gt;0,IF(INDEX([1]!Product_Pricing_Table[#Data],MATCH(DH$1,Products,0),2)="Cores",IF(HostBuild[Use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2" s="60">
        <f>IFERROR(IF(FIND(DI$1,$W122)&gt;0,IF(INDEX([1]!Product_Pricing_Table[#Data],MATCH(DI$1,Products,0),2)="Cores",IF(HostBuild[Use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2" s="59">
        <f>IFERROR(IF(FIND(DJ$1,$W122)&gt;0,IF(INDEX([1]!Product_Pricing_Table[#Data],MATCH(DJ$1,Products,0),2)="Cores",IF(HostBuild[Use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2" s="59">
        <f>IFERROR(IF(FIND(DK$1,$W122)&gt;0,IF(INDEX([1]!Product_Pricing_Table[#Data],MATCH(DK$1,Products,0),2)="Cores",IF(HostBuild[Use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2" s="59">
        <f>IFERROR(IF(FIND(DL$1,$W122)&gt;0,IF(INDEX([1]!Product_Pricing_Table[#Data],MATCH(DL$1,Products,0),2)="Cores",IF(HostBuild[Use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2" s="59">
        <f>IFERROR(IF(FIND(DM$1,$W122)&gt;0,IF(INDEX([1]!Product_Pricing_Table[#Data],MATCH(DM$1,Products,0),2)="Cores",IF(HostBuild[Use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2" s="59">
        <f>IFERROR(IF(FIND(DN$1,$W122)&gt;0,IF(INDEX([1]!Product_Pricing_Table[#Data],MATCH(DN$1,Products,0),2)="Cores",IF(HostBuild[Use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2" s="59">
        <f>IFERROR(IF(FIND(DO$1,$W122)&gt;0,IF(INDEX([1]!Product_Pricing_Table[#Data],MATCH(DO$1,Products,0),2)="Cores",IF(HostBuild[Use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2" s="59">
        <f>IFERROR(IF(FIND(DP$1,$W122)&gt;0,IF(INDEX([1]!Product_Pricing_Table[#Data],MATCH(DP$1,Products,0),2)="Cores",IF(HostBuild[Use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2" s="59">
        <f>IFERROR(IF(FIND(DQ$1,$W122)&gt;0,IF(INDEX([1]!Product_Pricing_Table[#Data],MATCH(DQ$1,Products,0),2)="Cores",IF(HostBuild[Use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2" s="59">
        <f>IFERROR(IF(FIND(DR$1,$W122)&gt;0,IF(INDEX([1]!Product_Pricing_Table[#Data],MATCH(DR$1,Products,0),2)="Cores",IF(HostBuild[Use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2" s="59">
        <f>IFERROR(IF(FIND(DS$1,$W122)&gt;0,IF(INDEX([1]!Product_Pricing_Table[#Data],MATCH(DS$1,Products,0),2)="Cores",IF(HostBuild[Use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2" s="59">
        <f>IFERROR(IF(FIND(DT$1,$W122)&gt;0,IF(INDEX([1]!Product_Pricing_Table[#Data],MATCH(DT$1,Products,0),2)="Cores",IF(HostBuild[Use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2" s="59">
        <f>IFERROR(IF(FIND(DU$1,$W122)&gt;0,IF(INDEX([1]!Product_Pricing_Table[#Data],MATCH(DU$1,Products,0),2)="Cores",IF(HostBuild[Use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2" s="59">
        <f>IFERROR(IF(FIND(DV$1,$W122)&gt;0,IF(INDEX([1]!Product_Pricing_Table[#Data],MATCH(DV$1,Products,0),2)="Cores",IF(HostBuild[Use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2" s="59">
        <f>IFERROR(IF(FIND(DW$1,$W122)&gt;0,IF(INDEX([1]!Product_Pricing_Table[#Data],MATCH(DW$1,Products,0),2)="Cores",IF(HostBuild[Use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2" s="59">
        <f>IFERROR(IF(FIND(DX$1,$W122)&gt;0,IF(INDEX([1]!Product_Pricing_Table[#Data],MATCH(DX$1,Products,0),2)="Cores",IF(HostBuild[Use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2" s="59">
        <f>IFERROR(IF(FIND(DY$1,$W122)&gt;0,IF(INDEX([1]!Product_Pricing_Table[#Data],MATCH(DY$1,Products,0),2)="Cores",IF(HostBuild[Use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2" s="59">
        <f>IFERROR(IF(FIND(DZ$1,$W122)&gt;0,IF(INDEX([1]!Product_Pricing_Table[#Data],MATCH(DZ$1,Products,0),2)="Cores",IF(HostBuild[Use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2" s="59">
        <f>IFERROR(IF(FIND(EA$1,$W122)&gt;0,IF(INDEX([1]!Product_Pricing_Table[#Data],MATCH(EA$1,Products,0),2)="Cores",IF(HostBuild[Use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2" s="59">
        <f>IFERROR(IF(FIND(EB$1,$W122)&gt;0,IF(INDEX([1]!Product_Pricing_Table[#Data],MATCH(EB$1,Products,0),2)="Cores",IF(HostBuild[Use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2" s="60">
        <f>IFERROR(IF(FIND(EC$1,$W122)&gt;0,IF(INDEX([1]!Product_Pricing_Table[#Data],MATCH(EC$1,Products,0),2)="Cores",IF(HostBuild[Use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2" s="59">
        <f>IFERROR(IF(FIND(ED$1,$W122)&gt;0,IF(INDEX([1]!Product_Pricing_Table[#Data],MATCH(ED$1,Products,0),2)="Cores",IF(HostBuild[Use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2" s="59">
        <f>IFERROR(IF(FIND(EE$1,$W122)&gt;0,IF(INDEX([1]!Product_Pricing_Table[#Data],MATCH(EE$1,Products,0),2)="Cores",IF(HostBuild[Use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2" s="59">
        <f>IFERROR(IF(FIND(EF$1,$W122)&gt;0,IF(INDEX([1]!Product_Pricing_Table[#Data],MATCH(EF$1,Products,0),2)="Cores",IF(HostBuild[Use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2" s="59">
        <f>IFERROR(IF(FIND(EG$1,$W122)&gt;0,IF(INDEX([1]!Product_Pricing_Table[#Data],MATCH(EG$1,Products,0),2)="Cores",IF(HostBuild[Use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2" s="59">
        <f>IFERROR(IF(FIND(EH$1,$W122)&gt;0,IF(INDEX([1]!Product_Pricing_Table[#Data],MATCH(EH$1,Products,0),2)="Cores",IF(HostBuild[Use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2" s="59">
        <f>IFERROR(IF(FIND(EI$1,$W122)&gt;0,IF(INDEX([1]!Product_Pricing_Table[#Data],MATCH(EI$1,Products,0),2)="Cores",IF(HostBuild[Use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2" s="59">
        <f>IFERROR(IF(FIND(EJ$1,$W122)&gt;0,IF(INDEX([1]!Product_Pricing_Table[#Data],MATCH(EJ$1,Products,0),2)="Cores",IF(HostBuild[Use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2" s="60">
        <f>IFERROR(IF(FIND(EK$1,$W122)&gt;0,IF(INDEX([1]!Product_Pricing_Table[#Data],MATCH(EK$1,Products,0),2)="Cores",IF(HostBuild[Use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2" s="61"/>
      <c r="EM122" s="62"/>
      <c r="EN122" s="63"/>
      <c r="EO122" s="64">
        <f>IF(OR(ISBLANK(HostBuild[Alias]),HostBuild[Server Tier]="",),0,IF(HostBuild[Server Tier]="SafeNet",Safenet_PSE_PL600+HostBuild[Network Cost],IF(HostBuild[Server Tier]="VMware",HostBuild[New VMware (Adjusted)]+HostBuild[Initial Server Cost],IF(HostBuild[Server Tier]="XI52",IBM_DIA_XI52,HostBuild[Initial Server Cost]))))</f>
        <v>829</v>
      </c>
      <c r="EP12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108.17700000000001</v>
      </c>
      <c r="EQ122" s="132">
        <f>(HostBuild[Archive
Full (GB)]+HostBuild[Archive
Incr (GB)])*Storage_DC_Dist_Tape_2014</f>
        <v>10.173187500000001</v>
      </c>
      <c r="ER122" s="132">
        <f>IF(ISNUMBER(HostBuild[Server HW Costs
(Monthly)]),SUM(HostBuild[[#This Row],[Server HW Costs
(Monthly)]:[Tape Costs
(Monthly)]]),0)</f>
        <v>947.35018750000006</v>
      </c>
      <c r="ES122" s="65">
        <f>HostBuild[Software Costs
'[Year 1']
(Monthly)]+HostBuild[Total Hardware Costs
(Monthly)]</f>
        <v>947.35018750000006</v>
      </c>
      <c r="ET122" s="65">
        <f>IFERROR(IF(FIND("Safenet",HostBuild[Server Model]),Safenet_PSE_PL600_Maint,0),0)+IFERROR(IF(FIND("XI52",HostBuild[Server Model]),IBM_DIA_XI52_Maint,0),0)+HostBuild[Software Costs
'[After Year 1']
(Monthly)]+HostBuild[Total Hardware Costs
(Monthly)]</f>
        <v>947.35018750000006</v>
      </c>
      <c r="EU122" s="66">
        <f>SUM(HostBuild[[#This Row],[Server Cost Breakdown]:[Network Cost]])</f>
        <v>829</v>
      </c>
      <c r="EV122" s="67">
        <f>IF(HostBuild[Existing Server?]="Yes - Inside this BoM",0,SUMIF(HostBuild[Alias],HostBuild[Alias],HostBuild[CPU])+SUMIF(HostBuild[Alias],HostBuild[Alias],HostBuild[Existing CPUs]))</f>
        <v>1</v>
      </c>
      <c r="EW122" s="67">
        <f>IF(HostBuild[Existing Server?]="Yes - Inside this BoM",0,SUMIF(HostBuild[Alias],HostBuild[Alias],HostBuild[Cores 
(Licensed Units)])+SUMIF(HostBuild[Alias],HostBuild[Alias],HostBuild[Existing Cores]))</f>
        <v>2</v>
      </c>
      <c r="EX122" s="67">
        <f>IF(HostBuild[Existing Server?]="Yes - Inside this BoM",0,SUMIF(HostBuild[Alias],HostBuild[Alias],HostBuild[RAM 
(GB)])+SUMIF(HostBuild[Alias],HostBuild[Alias],HostBuild[Existing RAM (GB)]))</f>
        <v>16</v>
      </c>
      <c r="EY12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2" s="66">
        <f>IF(ISBLANK(HostBuild[Server Model]),0,IF(HostBuild[Server Tier]="VMware",0,VLOOKUP(HostBuild[Server Tier],[1]!ServerTierRates[#Data],2,0))*HostBuild[CPU]*IF(AND(HostBuild[Server Type]="pSeries",HostBuild[Virtual Platform Storage Type]="Cloud-SAN"),0.25,1))</f>
        <v>829</v>
      </c>
      <c r="FD122" s="66">
        <f>0</f>
        <v>0</v>
      </c>
      <c r="FE122" s="66">
        <f>IF(HostBuild[Server Type]="VMware",HostBuild[RAM 
(GB)]*IF(ISERROR(FIND("DevCloud", HostBuild[Server Model])&gt;0),vRAM_per_vCPU_2014_Monthly,vRAM_per_vCPU_2014_Daily*30),0)</f>
        <v>0</v>
      </c>
      <c r="FF12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2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2" s="69">
        <f>IF(HostBuild[Server Tier]="VMware",0,IF(LEFT(HostBuild[Existing Server?],3)="Yes",0,IF(OR(HostBuild[Server Type]="Sun",HostBuild[Server Type]="pSeries"),Support_Direct_Server_Sun_per_OS_2014,IF(HostBuild[Server Type]="x86",Support_Direct_Server_x86_Wintel_per_OS_2014,0))))</f>
        <v>0</v>
      </c>
      <c r="FI12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3" spans="1:165" hidden="1">
      <c r="A123" s="122" t="s">
        <v>53</v>
      </c>
      <c r="B123" s="36"/>
      <c r="C123" s="36"/>
      <c r="D123" s="36"/>
      <c r="E123" s="37"/>
      <c r="F123" s="37"/>
      <c r="G123" s="103"/>
      <c r="H123" s="103"/>
      <c r="I123" s="38"/>
      <c r="J123" s="37"/>
      <c r="K123" s="37"/>
      <c r="L123" s="37"/>
      <c r="M123" s="103" t="e">
        <f ca="1">IF(rngIsDate(HostBuild[CTO Acceptance]),"Y","N")</f>
        <v>#NAME?</v>
      </c>
      <c r="N123" s="123" t="s">
        <v>4</v>
      </c>
      <c r="O123" s="39"/>
      <c r="P123" s="39"/>
      <c r="Q123" s="123" t="s">
        <v>0</v>
      </c>
      <c r="R123" s="126" t="str">
        <f>IF(NOT(ISBLANK(HostBuild[Env Label])),IFERROR(VLOOKUP(HostBuild[Env Label],[1]!tEnv[#Data],3,FALSE),""),"")</f>
        <v/>
      </c>
      <c r="S123" s="104"/>
      <c r="T123" s="40"/>
      <c r="U123" s="105"/>
      <c r="V123" s="123" t="s">
        <v>41</v>
      </c>
      <c r="W123" s="123" t="s">
        <v>43</v>
      </c>
      <c r="X123" s="123" t="s">
        <v>57</v>
      </c>
      <c r="Y123" s="123" t="s">
        <v>188</v>
      </c>
      <c r="Z123" s="126" t="str">
        <f>IF(NOT(ISBLANK(HostBuild[[#This Row],[Product 
(Acronym)]])),CONCATENATE(HostBuild[[#This Row],[Type]],"-",HostBuild[[#This Row],[Product 
(Acronym)]]),"")</f>
        <v>AP-CBOL</v>
      </c>
      <c r="AA123" s="106"/>
      <c r="AB123" s="106" t="s">
        <v>59</v>
      </c>
      <c r="AC123" s="41"/>
      <c r="AD123" s="42"/>
      <c r="AE123" s="42"/>
      <c r="AF123" s="43"/>
      <c r="AG123" s="124"/>
      <c r="AH123" s="107"/>
      <c r="AI123" s="124" t="s">
        <v>44</v>
      </c>
      <c r="AJ123" s="123">
        <f>IF(COUNTIF(HostBuild[Alias],HostBuild[Alias]),1/COUNTIF(HostBuild[Alias],HostBuild[Alias]),0)</f>
        <v>1</v>
      </c>
      <c r="AK123" s="124"/>
      <c r="AL123" s="124"/>
      <c r="AM123" s="44" t="s">
        <v>101</v>
      </c>
      <c r="AN123" s="45" t="str">
        <f>IF(NOT(ISBLANK(HostBuild[Server Model])),VLOOKUP(HostBuild[Server Model],[1]!ServerModelsTier[#Data],2,FALSE),"")</f>
        <v>IBM P-Series Tier 2</v>
      </c>
      <c r="AO123" s="45" t="str">
        <f>IF(NOT(ISBLANK(HostBuild[Server Model])),VLOOKUP(HostBuild[Server Model],[1]!ServerModelsTier[#Data],5,FALSE),"")</f>
        <v>pSeries</v>
      </c>
      <c r="AP123" s="44"/>
      <c r="AQ123" s="44" t="s">
        <v>102</v>
      </c>
      <c r="AR123" s="46">
        <v>1</v>
      </c>
      <c r="AS123" s="108"/>
      <c r="AT123" s="47">
        <v>2</v>
      </c>
      <c r="AU123" s="109"/>
      <c r="AV123" s="48">
        <v>16</v>
      </c>
      <c r="AW123" s="124"/>
      <c r="AX123" s="124"/>
      <c r="AY123" s="124"/>
      <c r="AZ123" s="49"/>
      <c r="BA123" s="124"/>
      <c r="BB123" s="124"/>
      <c r="BC123" s="42"/>
      <c r="BD123" s="124"/>
      <c r="BE123" s="124"/>
      <c r="BF123" s="124"/>
      <c r="BG123" s="124"/>
      <c r="BH123" s="124"/>
      <c r="BI123" s="124"/>
      <c r="BJ123" s="124"/>
      <c r="BK123"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23" s="127">
        <v>100</v>
      </c>
      <c r="BM123" s="129">
        <f>IF(ISNUMBER(HostBuild[Recommended SAN (GB)]),HostBuild[Recommended SAN (GB)])+IF(HostBuild[Additional SAN (GB)]&gt;0,CEILING(HostBuild[Additional SAN (GB)],LUN),-(CEILING(-HostBuild[Additional SAN (GB)],LUN)))</f>
        <v>101.10000000000001</v>
      </c>
      <c r="BN123" s="128"/>
      <c r="BO123" s="129">
        <f>HostBuild[SAN (GB)
NEEDED TODAY]+CEILING(HostBuild[SAN (GB)
RESERVED
DO NOT USE TO BUILD], LUN)</f>
        <v>101.10000000000001</v>
      </c>
      <c r="BP123" s="130"/>
      <c r="BQ123" s="131"/>
      <c r="BR123" s="125" t="s">
        <v>64</v>
      </c>
      <c r="BS123" s="110">
        <f>IF(HostBuild[Existing Server?]&lt;&gt;"Yes - Inside this BoM",IF(ISNUMBER(HostBuild[RAM 
(GB)]),IF(HostBuild[Existing RAM (GB)]+HostBuild[RAM 
(GB)]&gt;0,IF(HostBuild[Virtual Platform Storage Type]="NAS",110+HostBuild[Existing RAM (GB)]+HostBuild[RAM 
(GB)]*1.75,0),0),0),0)</f>
        <v>0</v>
      </c>
      <c r="BT123" s="111"/>
      <c r="BU123" s="112">
        <f>IF(ISNUMBER(HostBuild[Recommended NAS (GB)]),HostBuild[Recommended NAS (GB)])+HostBuild[Additional NAS (GB)]</f>
        <v>0</v>
      </c>
      <c r="BV123" s="50"/>
      <c r="BW123" s="50"/>
      <c r="BX123" s="133">
        <f>IFERROR((HostBuild[SAN (GB)
End-State
DO NOT USE TO BUILD]+HostBuild[SAN (GB) Shared])*25%,"")</f>
        <v>25.275000000000002</v>
      </c>
      <c r="BY123" s="113">
        <f>IFERROR(HostBuild[Archive
Full (GB)]*15%,"")</f>
        <v>3.7912500000000002</v>
      </c>
      <c r="BZ123" s="51"/>
      <c r="CA123" s="51"/>
      <c r="CB123" s="52"/>
      <c r="CC123" s="53"/>
      <c r="CD123" s="52"/>
      <c r="CE123" s="54"/>
      <c r="CF123" s="128"/>
      <c r="CG123" s="114"/>
      <c r="CH123" s="55"/>
      <c r="CI123" s="56"/>
      <c r="CJ123" s="57"/>
      <c r="CK123" s="58"/>
      <c r="CL123" s="59">
        <f>IFERROR(IF(FIND(CL$1,$W123)&gt;0,IF(INDEX([1]!Product_Pricing_Table[#Data],MATCH(CL$1,Products,0),2)="Cores",IF(HostBuild[Use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3" s="59">
        <f>IFERROR(IF(FIND(CM$1,$W123)&gt;0,IF(INDEX([1]!Product_Pricing_Table[#Data],MATCH(CM$1,Products,0),2)="Cores",IF(HostBuild[Use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3" s="59">
        <f>IFERROR(IF(FIND(CN$1,$W123)&gt;0,IF(INDEX([1]!Product_Pricing_Table[#Data],MATCH(CN$1,Products,0),2)="Cores",IF(HostBuild[Use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3" s="59">
        <f>IFERROR(IF(FIND(CO$1,$W123)&gt;0,IF(INDEX([1]!Product_Pricing_Table[#Data],MATCH(CO$1,Products,0),2)="Cores",IF(HostBuild[Use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3" s="59">
        <f>IFERROR(IF(FIND(CP$1,$W123)&gt;0,IF(INDEX([1]!Product_Pricing_Table[#Data],MATCH(CP$1,Products,0),2)="Cores",IF(HostBuild[Use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3" s="59">
        <f>IFERROR(IF(FIND(CQ$1,$W123)&gt;0,IF(INDEX([1]!Product_Pricing_Table[#Data],MATCH(CQ$1,Products,0),2)="Cores",IF(HostBuild[Use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3" s="59">
        <f>IFERROR(IF(FIND(CR$1,$W123)&gt;0,IF(INDEX([1]!Product_Pricing_Table[#Data],MATCH(CR$1,Products,0),2)="Cores",IF(HostBuild[Use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3" s="59">
        <f>IFERROR(IF(FIND(CS$1,$W123)&gt;0,IF(INDEX([1]!Product_Pricing_Table[#Data],MATCH(CS$1,Products,0),2)="Cores",IF(HostBuild[Use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3" s="59">
        <f>IFERROR(IF(FIND(CT$1,$W123)&gt;0,IF(INDEX([1]!Product_Pricing_Table[#Data],MATCH(CT$1,Products,0),2)="Cores",IF(HostBuild[Use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3" s="59">
        <f>IFERROR(IF(FIND(CU$1,$W123)&gt;0,IF(INDEX([1]!Product_Pricing_Table[#Data],MATCH(CU$1,Products,0),2)="Cores",IF(HostBuild[Use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3" s="59">
        <f>IFERROR(IF(FIND(CV$1,$W123)&gt;0,IF(INDEX([1]!Product_Pricing_Table[#Data],MATCH(CV$1,Products,0),2)="Cores",IF(HostBuild[Use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3" s="59">
        <f>IFERROR(IF(FIND(CW$1,$W123)&gt;0,IF(INDEX([1]!Product_Pricing_Table[#Data],MATCH(CW$1,Products,0),2)="Cores",IF(HostBuild[Use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3" s="59">
        <f>IFERROR(IF(FIND(CX$1,$W123)&gt;0,IF(INDEX([1]!Product_Pricing_Table[#Data],MATCH(CX$1,Products,0),2)="Cores",IF(HostBuild[Use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3" s="59">
        <f>IFERROR(IF(FIND(CY$1,$W123)&gt;0,IF(INDEX([1]!Product_Pricing_Table[#Data],MATCH(CY$1,Products,0),2)="Cores",IF(HostBuild[Use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3" s="59">
        <f>IFERROR(IF(FIND(CZ$1,$W123)&gt;0,IF(INDEX([1]!Product_Pricing_Table[#Data],MATCH(CZ$1,Products,0),2)="Cores",IF(HostBuild[Use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3" s="59">
        <f>IFERROR(IF(FIND(DA$1,$W123)&gt;0,IF(INDEX([1]!Product_Pricing_Table[#Data],MATCH(DA$1,Products,0),2)="Cores",IF(HostBuild[Use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3" s="59">
        <f>IFERROR(IF(FIND(DB$1,$W123)&gt;0,IF(INDEX([1]!Product_Pricing_Table[#Data],MATCH(DB$1,Products,0),2)="Cores",IF(HostBuild[Use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3" s="59">
        <f>IFERROR(IF(FIND(DC$1,$W123)&gt;0,IF(INDEX([1]!Product_Pricing_Table[#Data],MATCH(DC$1,Products,0),2)="Cores",IF(HostBuild[Use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3" s="59">
        <f>IFERROR(IF(FIND(DD$1,$W123)&gt;0,IF(INDEX([1]!Product_Pricing_Table[#Data],MATCH(DD$1,Products,0),2)="Cores",IF(HostBuild[Use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3" s="59">
        <f>IFERROR(IF(FIND(DE$1,$W123)&gt;0,IF(INDEX([1]!Product_Pricing_Table[#Data],MATCH(DE$1,Products,0),2)="Cores",IF(HostBuild[Use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3" s="60">
        <f>IFERROR(IF(FIND(DF$1,$W123)&gt;0,IF(INDEX([1]!Product_Pricing_Table[#Data],MATCH(DF$1,Products,0),2)="Cores",IF(HostBuild[Use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3" s="60">
        <f>IFERROR(IF(FIND(DG$1,$W123)&gt;0,IF(INDEX([1]!Product_Pricing_Table[#Data],MATCH(DG$1,Products,0),2)="Cores",IF(HostBuild[Use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3" s="59">
        <f>IFERROR(IF(FIND(DH$1,$W123)&gt;0,IF(INDEX([1]!Product_Pricing_Table[#Data],MATCH(DH$1,Products,0),2)="Cores",IF(HostBuild[Use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3" s="60">
        <f>IFERROR(IF(FIND(DI$1,$W123)&gt;0,IF(INDEX([1]!Product_Pricing_Table[#Data],MATCH(DI$1,Products,0),2)="Cores",IF(HostBuild[Use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3" s="59">
        <f>IFERROR(IF(FIND(DJ$1,$W123)&gt;0,IF(INDEX([1]!Product_Pricing_Table[#Data],MATCH(DJ$1,Products,0),2)="Cores",IF(HostBuild[Use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3" s="59">
        <f>IFERROR(IF(FIND(DK$1,$W123)&gt;0,IF(INDEX([1]!Product_Pricing_Table[#Data],MATCH(DK$1,Products,0),2)="Cores",IF(HostBuild[Use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3" s="59">
        <f>IFERROR(IF(FIND(DL$1,$W123)&gt;0,IF(INDEX([1]!Product_Pricing_Table[#Data],MATCH(DL$1,Products,0),2)="Cores",IF(HostBuild[Use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3" s="59">
        <f>IFERROR(IF(FIND(DM$1,$W123)&gt;0,IF(INDEX([1]!Product_Pricing_Table[#Data],MATCH(DM$1,Products,0),2)="Cores",IF(HostBuild[Use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3" s="59">
        <f>IFERROR(IF(FIND(DN$1,$W123)&gt;0,IF(INDEX([1]!Product_Pricing_Table[#Data],MATCH(DN$1,Products,0),2)="Cores",IF(HostBuild[Use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3" s="59">
        <f>IFERROR(IF(FIND(DO$1,$W123)&gt;0,IF(INDEX([1]!Product_Pricing_Table[#Data],MATCH(DO$1,Products,0),2)="Cores",IF(HostBuild[Use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3" s="59">
        <f>IFERROR(IF(FIND(DP$1,$W123)&gt;0,IF(INDEX([1]!Product_Pricing_Table[#Data],MATCH(DP$1,Products,0),2)="Cores",IF(HostBuild[Use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3" s="59">
        <f>IFERROR(IF(FIND(DQ$1,$W123)&gt;0,IF(INDEX([1]!Product_Pricing_Table[#Data],MATCH(DQ$1,Products,0),2)="Cores",IF(HostBuild[Use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3" s="59">
        <f>IFERROR(IF(FIND(DR$1,$W123)&gt;0,IF(INDEX([1]!Product_Pricing_Table[#Data],MATCH(DR$1,Products,0),2)="Cores",IF(HostBuild[Use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3" s="59">
        <f>IFERROR(IF(FIND(DS$1,$W123)&gt;0,IF(INDEX([1]!Product_Pricing_Table[#Data],MATCH(DS$1,Products,0),2)="Cores",IF(HostBuild[Use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3" s="59">
        <f>IFERROR(IF(FIND(DT$1,$W123)&gt;0,IF(INDEX([1]!Product_Pricing_Table[#Data],MATCH(DT$1,Products,0),2)="Cores",IF(HostBuild[Use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3" s="59">
        <f>IFERROR(IF(FIND(DU$1,$W123)&gt;0,IF(INDEX([1]!Product_Pricing_Table[#Data],MATCH(DU$1,Products,0),2)="Cores",IF(HostBuild[Use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3" s="59">
        <f>IFERROR(IF(FIND(DV$1,$W123)&gt;0,IF(INDEX([1]!Product_Pricing_Table[#Data],MATCH(DV$1,Products,0),2)="Cores",IF(HostBuild[Use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3" s="59">
        <f>IFERROR(IF(FIND(DW$1,$W123)&gt;0,IF(INDEX([1]!Product_Pricing_Table[#Data],MATCH(DW$1,Products,0),2)="Cores",IF(HostBuild[Use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3" s="59">
        <f>IFERROR(IF(FIND(DX$1,$W123)&gt;0,IF(INDEX([1]!Product_Pricing_Table[#Data],MATCH(DX$1,Products,0),2)="Cores",IF(HostBuild[Use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3" s="59">
        <f>IFERROR(IF(FIND(DY$1,$W123)&gt;0,IF(INDEX([1]!Product_Pricing_Table[#Data],MATCH(DY$1,Products,0),2)="Cores",IF(HostBuild[Use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3" s="59">
        <f>IFERROR(IF(FIND(DZ$1,$W123)&gt;0,IF(INDEX([1]!Product_Pricing_Table[#Data],MATCH(DZ$1,Products,0),2)="Cores",IF(HostBuild[Use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3" s="59">
        <f>IFERROR(IF(FIND(EA$1,$W123)&gt;0,IF(INDEX([1]!Product_Pricing_Table[#Data],MATCH(EA$1,Products,0),2)="Cores",IF(HostBuild[Use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3" s="59">
        <f>IFERROR(IF(FIND(EB$1,$W123)&gt;0,IF(INDEX([1]!Product_Pricing_Table[#Data],MATCH(EB$1,Products,0),2)="Cores",IF(HostBuild[Use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3" s="60">
        <f>IFERROR(IF(FIND(EC$1,$W123)&gt;0,IF(INDEX([1]!Product_Pricing_Table[#Data],MATCH(EC$1,Products,0),2)="Cores",IF(HostBuild[Use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3" s="59">
        <f>IFERROR(IF(FIND(ED$1,$W123)&gt;0,IF(INDEX([1]!Product_Pricing_Table[#Data],MATCH(ED$1,Products,0),2)="Cores",IF(HostBuild[Use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3" s="59">
        <f>IFERROR(IF(FIND(EE$1,$W123)&gt;0,IF(INDEX([1]!Product_Pricing_Table[#Data],MATCH(EE$1,Products,0),2)="Cores",IF(HostBuild[Use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3" s="59">
        <f>IFERROR(IF(FIND(EF$1,$W123)&gt;0,IF(INDEX([1]!Product_Pricing_Table[#Data],MATCH(EF$1,Products,0),2)="Cores",IF(HostBuild[Use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3" s="59">
        <f>IFERROR(IF(FIND(EG$1,$W123)&gt;0,IF(INDEX([1]!Product_Pricing_Table[#Data],MATCH(EG$1,Products,0),2)="Cores",IF(HostBuild[Use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3" s="59">
        <f>IFERROR(IF(FIND(EH$1,$W123)&gt;0,IF(INDEX([1]!Product_Pricing_Table[#Data],MATCH(EH$1,Products,0),2)="Cores",IF(HostBuild[Use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3" s="59">
        <f>IFERROR(IF(FIND(EI$1,$W123)&gt;0,IF(INDEX([1]!Product_Pricing_Table[#Data],MATCH(EI$1,Products,0),2)="Cores",IF(HostBuild[Use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3" s="59">
        <f>IFERROR(IF(FIND(EJ$1,$W123)&gt;0,IF(INDEX([1]!Product_Pricing_Table[#Data],MATCH(EJ$1,Products,0),2)="Cores",IF(HostBuild[Use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3" s="60">
        <f>IFERROR(IF(FIND(EK$1,$W123)&gt;0,IF(INDEX([1]!Product_Pricing_Table[#Data],MATCH(EK$1,Products,0),2)="Cores",IF(HostBuild[Use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3" s="61"/>
      <c r="EM123" s="62"/>
      <c r="EN123" s="63"/>
      <c r="EO123" s="64">
        <f>IF(OR(ISBLANK(HostBuild[Alias]),HostBuild[Server Tier]="",),0,IF(HostBuild[Server Tier]="SafeNet",Safenet_PSE_PL600+HostBuild[Network Cost],IF(HostBuild[Server Tier]="VMware",HostBuild[New VMware (Adjusted)]+HostBuild[Initial Server Cost],IF(HostBuild[Server Tier]="XI52",IBM_DIA_XI52,HostBuild[Initial Server Cost]))))</f>
        <v>829</v>
      </c>
      <c r="EP12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108.17700000000001</v>
      </c>
      <c r="EQ123" s="132">
        <f>(HostBuild[Archive
Full (GB)]+HostBuild[Archive
Incr (GB)])*Storage_DC_Dist_Tape_2014</f>
        <v>10.173187500000001</v>
      </c>
      <c r="ER123" s="132">
        <f>IF(ISNUMBER(HostBuild[Server HW Costs
(Monthly)]),SUM(HostBuild[[#This Row],[Server HW Costs
(Monthly)]:[Tape Costs
(Monthly)]]),0)</f>
        <v>947.35018750000006</v>
      </c>
      <c r="ES123" s="65">
        <f>HostBuild[Software Costs
'[Year 1']
(Monthly)]+HostBuild[Total Hardware Costs
(Monthly)]</f>
        <v>947.35018750000006</v>
      </c>
      <c r="ET123" s="65">
        <f>IFERROR(IF(FIND("Safenet",HostBuild[Server Model]),Safenet_PSE_PL600_Maint,0),0)+IFERROR(IF(FIND("XI52",HostBuild[Server Model]),IBM_DIA_XI52_Maint,0),0)+HostBuild[Software Costs
'[After Year 1']
(Monthly)]+HostBuild[Total Hardware Costs
(Monthly)]</f>
        <v>947.35018750000006</v>
      </c>
      <c r="EU123" s="66">
        <f>SUM(HostBuild[[#This Row],[Server Cost Breakdown]:[Network Cost]])</f>
        <v>829</v>
      </c>
      <c r="EV123" s="67">
        <f>IF(HostBuild[Existing Server?]="Yes - Inside this BoM",0,SUMIF(HostBuild[Alias],HostBuild[Alias],HostBuild[CPU])+SUMIF(HostBuild[Alias],HostBuild[Alias],HostBuild[Existing CPUs]))</f>
        <v>1</v>
      </c>
      <c r="EW123" s="67">
        <f>IF(HostBuild[Existing Server?]="Yes - Inside this BoM",0,SUMIF(HostBuild[Alias],HostBuild[Alias],HostBuild[Cores 
(Licensed Units)])+SUMIF(HostBuild[Alias],HostBuild[Alias],HostBuild[Existing Cores]))</f>
        <v>2</v>
      </c>
      <c r="EX123" s="67">
        <f>IF(HostBuild[Existing Server?]="Yes - Inside this BoM",0,SUMIF(HostBuild[Alias],HostBuild[Alias],HostBuild[RAM 
(GB)])+SUMIF(HostBuild[Alias],HostBuild[Alias],HostBuild[Existing RAM (GB)]))</f>
        <v>16</v>
      </c>
      <c r="EY12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3" s="66">
        <f>IF(ISBLANK(HostBuild[Server Model]),0,IF(HostBuild[Server Tier]="VMware",0,VLOOKUP(HostBuild[Server Tier],[1]!ServerTierRates[#Data],2,0))*HostBuild[CPU]*IF(AND(HostBuild[Server Type]="pSeries",HostBuild[Virtual Platform Storage Type]="Cloud-SAN"),0.25,1))</f>
        <v>829</v>
      </c>
      <c r="FD123" s="66">
        <f>0</f>
        <v>0</v>
      </c>
      <c r="FE123" s="66">
        <f>IF(HostBuild[Server Type]="VMware",HostBuild[RAM 
(GB)]*IF(ISERROR(FIND("DevCloud", HostBuild[Server Model])&gt;0),vRAM_per_vCPU_2014_Monthly,vRAM_per_vCPU_2014_Daily*30),0)</f>
        <v>0</v>
      </c>
      <c r="FF12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2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3" s="69">
        <f>IF(HostBuild[Server Tier]="VMware",0,IF(LEFT(HostBuild[Existing Server?],3)="Yes",0,IF(OR(HostBuild[Server Type]="Sun",HostBuild[Server Type]="pSeries"),Support_Direct_Server_Sun_per_OS_2014,IF(HostBuild[Server Type]="x86",Support_Direct_Server_x86_Wintel_per_OS_2014,0))))</f>
        <v>0</v>
      </c>
      <c r="FI12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4" spans="1:165" hidden="1">
      <c r="A124" s="122" t="s">
        <v>53</v>
      </c>
      <c r="B124" s="36"/>
      <c r="C124" s="36"/>
      <c r="D124" s="36"/>
      <c r="E124" s="37"/>
      <c r="F124" s="37"/>
      <c r="G124" s="103"/>
      <c r="H124" s="103"/>
      <c r="I124" s="38"/>
      <c r="J124" s="37"/>
      <c r="K124" s="37"/>
      <c r="L124" s="37"/>
      <c r="M124" s="103" t="e">
        <f ca="1">IF(rngIsDate(HostBuild[CTO Acceptance]),"Y","N")</f>
        <v>#NAME?</v>
      </c>
      <c r="N124" s="123" t="s">
        <v>4</v>
      </c>
      <c r="O124" s="39"/>
      <c r="P124" s="39"/>
      <c r="Q124" s="123" t="s">
        <v>192</v>
      </c>
      <c r="R124" s="126" t="str">
        <f>IF(NOT(ISBLANK(HostBuild[Env Label])),IFERROR(VLOOKUP(HostBuild[Env Label],[1]!tEnv[#Data],3,FALSE),""),"")</f>
        <v/>
      </c>
      <c r="S124" s="104"/>
      <c r="T124" s="40"/>
      <c r="U124" s="105"/>
      <c r="V124" s="123" t="s">
        <v>7</v>
      </c>
      <c r="W124" s="123" t="s">
        <v>186</v>
      </c>
      <c r="X124" s="123" t="s">
        <v>187</v>
      </c>
      <c r="Y124" s="123" t="s">
        <v>188</v>
      </c>
      <c r="Z124" s="126" t="str">
        <f>IF(NOT(ISBLANK(HostBuild[[#This Row],[Product 
(Acronym)]])),CONCATENATE(HostBuild[[#This Row],[Type]],"-",HostBuild[[#This Row],[Product 
(Acronym)]]),"")</f>
        <v>WW-CBOL</v>
      </c>
      <c r="AA124" s="106"/>
      <c r="AB124" s="106" t="s">
        <v>76</v>
      </c>
      <c r="AC124" s="41"/>
      <c r="AD124" s="42"/>
      <c r="AE124" s="42"/>
      <c r="AF124" s="43"/>
      <c r="AG124" s="124"/>
      <c r="AH124" s="107"/>
      <c r="AI124" s="124" t="s">
        <v>193</v>
      </c>
      <c r="AJ124" s="123">
        <f>IF(COUNTIF(HostBuild[Alias],HostBuild[Alias]),1/COUNTIF(HostBuild[Alias],HostBuild[Alias]),0)</f>
        <v>1</v>
      </c>
      <c r="AK124" s="124"/>
      <c r="AL124" s="124"/>
      <c r="AM124" s="44" t="s">
        <v>62</v>
      </c>
      <c r="AN124" s="45" t="str">
        <f>IF(NOT(ISBLANK(HostBuild[Server Model])),VLOOKUP(HostBuild[Server Model],[1]!ServerModelsTier[#Data],2,FALSE),"")</f>
        <v>x86 Tier 3</v>
      </c>
      <c r="AO124" s="45" t="str">
        <f>IF(NOT(ISBLANK(HostBuild[Server Model])),VLOOKUP(HostBuild[Server Model],[1]!ServerModelsTier[#Data],5,FALSE),"")</f>
        <v>x86</v>
      </c>
      <c r="AP124" s="44"/>
      <c r="AQ124" s="44" t="s">
        <v>63</v>
      </c>
      <c r="AR124" s="46">
        <v>2</v>
      </c>
      <c r="AS124" s="108"/>
      <c r="AT124" s="47">
        <v>16</v>
      </c>
      <c r="AU124" s="109" t="str">
        <f>IF(IFERROR(FIND("P-Series",HostBuild[Server Tier]),0),CEILING((HostBuild[Existing CPUs]+HostBuild[CPU])*16,8),"")</f>
        <v/>
      </c>
      <c r="AV124" s="48">
        <v>128</v>
      </c>
      <c r="AW124" s="124"/>
      <c r="AX124" s="124"/>
      <c r="AY124" s="124"/>
      <c r="AZ124" s="49"/>
      <c r="BA124" s="124"/>
      <c r="BB124" s="124"/>
      <c r="BC124" s="42"/>
      <c r="BD124" s="124"/>
      <c r="BE124" s="124"/>
      <c r="BF124" s="124"/>
      <c r="BG124" s="124"/>
      <c r="BH124" s="124"/>
      <c r="BI124" s="124"/>
      <c r="BJ124" s="124"/>
      <c r="BK124"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24" s="127">
        <v>600</v>
      </c>
      <c r="BM124" s="129">
        <f>IF(ISNUMBER(HostBuild[Recommended SAN (GB)]),HostBuild[Recommended SAN (GB)])+IF(HostBuild[Additional SAN (GB)]&gt;0,CEILING(HostBuild[Additional SAN (GB)],LUN),-(CEILING(-HostBuild[Additional SAN (GB)],LUN)))</f>
        <v>808.80000000000007</v>
      </c>
      <c r="BN124" s="128"/>
      <c r="BO124" s="129">
        <f>HostBuild[SAN (GB)
NEEDED TODAY]+CEILING(HostBuild[SAN (GB)
RESERVED
DO NOT USE TO BUILD], LUN)</f>
        <v>808.80000000000007</v>
      </c>
      <c r="BP124" s="130"/>
      <c r="BQ124" s="131"/>
      <c r="BR124" s="125" t="s">
        <v>76</v>
      </c>
      <c r="BS124" s="110">
        <f>IF(HostBuild[Existing Server?]&lt;&gt;"Yes - Inside this BoM",IF(ISNUMBER(HostBuild[RAM 
(GB)]),IF(HostBuild[Existing RAM (GB)]+HostBuild[RAM 
(GB)]&gt;0,IF(HostBuild[Virtual Platform Storage Type]="NAS",110+HostBuild[Existing RAM (GB)]+HostBuild[RAM 
(GB)]*1.75,0),0),0),0)</f>
        <v>0</v>
      </c>
      <c r="BT124" s="111"/>
      <c r="BU124" s="112">
        <f>IF(ISNUMBER(HostBuild[Recommended NAS (GB)]),HostBuild[Recommended NAS (GB)])+HostBuild[Additional NAS (GB)]</f>
        <v>0</v>
      </c>
      <c r="BV124" s="50"/>
      <c r="BW124" s="50"/>
      <c r="BX124" s="133">
        <f>IFERROR((HostBuild[SAN (GB)
End-State
DO NOT USE TO BUILD]+HostBuild[SAN (GB) Shared])*25%,"")</f>
        <v>202.20000000000002</v>
      </c>
      <c r="BY124" s="113">
        <f>IFERROR(HostBuild[Archive
Full (GB)]*15%,"")</f>
        <v>30.330000000000002</v>
      </c>
      <c r="BZ124" s="51"/>
      <c r="CA124" s="51"/>
      <c r="CB124" s="52"/>
      <c r="CC124" s="53"/>
      <c r="CD124" s="52"/>
      <c r="CE124" s="54"/>
      <c r="CF124" s="128"/>
      <c r="CG124" s="114"/>
      <c r="CH124" s="55"/>
      <c r="CI124" s="56"/>
      <c r="CJ124" s="57"/>
      <c r="CK124" s="58"/>
      <c r="CL124" s="59">
        <f>IFERROR(IF(FIND(CL$1,$W124)&gt;0,IF(INDEX([1]!Product_Pricing_Table[#Data],MATCH(CL$1,Products,0),2)="Cores",IF(HostBuild[Use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4" s="59">
        <f>IFERROR(IF(FIND(CM$1,$W124)&gt;0,IF(INDEX([1]!Product_Pricing_Table[#Data],MATCH(CM$1,Products,0),2)="Cores",IF(HostBuild[Use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4" s="59">
        <f>IFERROR(IF(FIND(CN$1,$W124)&gt;0,IF(INDEX([1]!Product_Pricing_Table[#Data],MATCH(CN$1,Products,0),2)="Cores",IF(HostBuild[Use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4" s="59">
        <f>IFERROR(IF(FIND(CO$1,$W124)&gt;0,IF(INDEX([1]!Product_Pricing_Table[#Data],MATCH(CO$1,Products,0),2)="Cores",IF(HostBuild[Use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4" s="59">
        <f>IFERROR(IF(FIND(CP$1,$W124)&gt;0,IF(INDEX([1]!Product_Pricing_Table[#Data],MATCH(CP$1,Products,0),2)="Cores",IF(HostBuild[Use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4" s="59">
        <f>IFERROR(IF(FIND(CQ$1,$W124)&gt;0,IF(INDEX([1]!Product_Pricing_Table[#Data],MATCH(CQ$1,Products,0),2)="Cores",IF(HostBuild[Use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4" s="59">
        <f>IFERROR(IF(FIND(CR$1,$W124)&gt;0,IF(INDEX([1]!Product_Pricing_Table[#Data],MATCH(CR$1,Products,0),2)="Cores",IF(HostBuild[Use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4" s="59">
        <f>IFERROR(IF(FIND(CS$1,$W124)&gt;0,IF(INDEX([1]!Product_Pricing_Table[#Data],MATCH(CS$1,Products,0),2)="Cores",IF(HostBuild[Use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4" s="59">
        <f>IFERROR(IF(FIND(CT$1,$W124)&gt;0,IF(INDEX([1]!Product_Pricing_Table[#Data],MATCH(CT$1,Products,0),2)="Cores",IF(HostBuild[Use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4" s="59">
        <f>IFERROR(IF(FIND(CU$1,$W124)&gt;0,IF(INDEX([1]!Product_Pricing_Table[#Data],MATCH(CU$1,Products,0),2)="Cores",IF(HostBuild[Use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4" s="59">
        <f>IFERROR(IF(FIND(CV$1,$W124)&gt;0,IF(INDEX([1]!Product_Pricing_Table[#Data],MATCH(CV$1,Products,0),2)="Cores",IF(HostBuild[Use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4" s="59">
        <f>IFERROR(IF(FIND(CW$1,$W124)&gt;0,IF(INDEX([1]!Product_Pricing_Table[#Data],MATCH(CW$1,Products,0),2)="Cores",IF(HostBuild[Use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4" s="59">
        <f>IFERROR(IF(FIND(CX$1,$W124)&gt;0,IF(INDEX([1]!Product_Pricing_Table[#Data],MATCH(CX$1,Products,0),2)="Cores",IF(HostBuild[Use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4" s="59">
        <f>IFERROR(IF(FIND(CY$1,$W124)&gt;0,IF(INDEX([1]!Product_Pricing_Table[#Data],MATCH(CY$1,Products,0),2)="Cores",IF(HostBuild[Use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4" s="59">
        <f>IFERROR(IF(FIND(CZ$1,$W124)&gt;0,IF(INDEX([1]!Product_Pricing_Table[#Data],MATCH(CZ$1,Products,0),2)="Cores",IF(HostBuild[Use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4" s="59">
        <f>IFERROR(IF(FIND(DA$1,$W124)&gt;0,IF(INDEX([1]!Product_Pricing_Table[#Data],MATCH(DA$1,Products,0),2)="Cores",IF(HostBuild[Use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4" s="59">
        <f>IFERROR(IF(FIND(DB$1,$W124)&gt;0,IF(INDEX([1]!Product_Pricing_Table[#Data],MATCH(DB$1,Products,0),2)="Cores",IF(HostBuild[Use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4" s="59">
        <f>IFERROR(IF(FIND(DC$1,$W124)&gt;0,IF(INDEX([1]!Product_Pricing_Table[#Data],MATCH(DC$1,Products,0),2)="Cores",IF(HostBuild[Use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4" s="59">
        <f>IFERROR(IF(FIND(DD$1,$W124)&gt;0,IF(INDEX([1]!Product_Pricing_Table[#Data],MATCH(DD$1,Products,0),2)="Cores",IF(HostBuild[Use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4" s="59">
        <f>IFERROR(IF(FIND(DE$1,$W124)&gt;0,IF(INDEX([1]!Product_Pricing_Table[#Data],MATCH(DE$1,Products,0),2)="Cores",IF(HostBuild[Use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4" s="60">
        <f>IFERROR(IF(FIND(DF$1,$W124)&gt;0,IF(INDEX([1]!Product_Pricing_Table[#Data],MATCH(DF$1,Products,0),2)="Cores",IF(HostBuild[Use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4" s="60">
        <f>IFERROR(IF(FIND(DG$1,$W124)&gt;0,IF(INDEX([1]!Product_Pricing_Table[#Data],MATCH(DG$1,Products,0),2)="Cores",IF(HostBuild[Use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4" s="59">
        <f>IFERROR(IF(FIND(DH$1,$W124)&gt;0,IF(INDEX([1]!Product_Pricing_Table[#Data],MATCH(DH$1,Products,0),2)="Cores",IF(HostBuild[Use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4" s="60">
        <f>IFERROR(IF(FIND(DI$1,$W124)&gt;0,IF(INDEX([1]!Product_Pricing_Table[#Data],MATCH(DI$1,Products,0),2)="Cores",IF(HostBuild[Use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4" s="59">
        <f>IFERROR(IF(FIND(DJ$1,$W124)&gt;0,IF(INDEX([1]!Product_Pricing_Table[#Data],MATCH(DJ$1,Products,0),2)="Cores",IF(HostBuild[Use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4" s="59">
        <f>IFERROR(IF(FIND(DK$1,$W124)&gt;0,IF(INDEX([1]!Product_Pricing_Table[#Data],MATCH(DK$1,Products,0),2)="Cores",IF(HostBuild[Use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4" s="59">
        <f>IFERROR(IF(FIND(DL$1,$W124)&gt;0,IF(INDEX([1]!Product_Pricing_Table[#Data],MATCH(DL$1,Products,0),2)="Cores",IF(HostBuild[Use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4" s="59">
        <f>IFERROR(IF(FIND(DM$1,$W124)&gt;0,IF(INDEX([1]!Product_Pricing_Table[#Data],MATCH(DM$1,Products,0),2)="Cores",IF(HostBuild[Use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4" s="59">
        <f>IFERROR(IF(FIND(DN$1,$W124)&gt;0,IF(INDEX([1]!Product_Pricing_Table[#Data],MATCH(DN$1,Products,0),2)="Cores",IF(HostBuild[Use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4" s="59">
        <f>IFERROR(IF(FIND(DO$1,$W124)&gt;0,IF(INDEX([1]!Product_Pricing_Table[#Data],MATCH(DO$1,Products,0),2)="Cores",IF(HostBuild[Use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4" s="59">
        <f>IFERROR(IF(FIND(DP$1,$W124)&gt;0,IF(INDEX([1]!Product_Pricing_Table[#Data],MATCH(DP$1,Products,0),2)="Cores",IF(HostBuild[Use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4" s="59">
        <f>IFERROR(IF(FIND(DQ$1,$W124)&gt;0,IF(INDEX([1]!Product_Pricing_Table[#Data],MATCH(DQ$1,Products,0),2)="Cores",IF(HostBuild[Use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4" s="59">
        <f>IFERROR(IF(FIND(DR$1,$W124)&gt;0,IF(INDEX([1]!Product_Pricing_Table[#Data],MATCH(DR$1,Products,0),2)="Cores",IF(HostBuild[Use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4" s="59">
        <f>IFERROR(IF(FIND(DS$1,$W124)&gt;0,IF(INDEX([1]!Product_Pricing_Table[#Data],MATCH(DS$1,Products,0),2)="Cores",IF(HostBuild[Use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4" s="59">
        <f>IFERROR(IF(FIND(DT$1,$W124)&gt;0,IF(INDEX([1]!Product_Pricing_Table[#Data],MATCH(DT$1,Products,0),2)="Cores",IF(HostBuild[Use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4" s="59">
        <f>IFERROR(IF(FIND(DU$1,$W124)&gt;0,IF(INDEX([1]!Product_Pricing_Table[#Data],MATCH(DU$1,Products,0),2)="Cores",IF(HostBuild[Use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4" s="59">
        <f>IFERROR(IF(FIND(DV$1,$W124)&gt;0,IF(INDEX([1]!Product_Pricing_Table[#Data],MATCH(DV$1,Products,0),2)="Cores",IF(HostBuild[Use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4" s="59">
        <f>IFERROR(IF(FIND(DW$1,$W124)&gt;0,IF(INDEX([1]!Product_Pricing_Table[#Data],MATCH(DW$1,Products,0),2)="Cores",IF(HostBuild[Use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4" s="59">
        <f>IFERROR(IF(FIND(DX$1,$W124)&gt;0,IF(INDEX([1]!Product_Pricing_Table[#Data],MATCH(DX$1,Products,0),2)="Cores",IF(HostBuild[Use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4" s="59">
        <f>IFERROR(IF(FIND(DY$1,$W124)&gt;0,IF(INDEX([1]!Product_Pricing_Table[#Data],MATCH(DY$1,Products,0),2)="Cores",IF(HostBuild[Use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4" s="59">
        <f>IFERROR(IF(FIND(DZ$1,$W124)&gt;0,IF(INDEX([1]!Product_Pricing_Table[#Data],MATCH(DZ$1,Products,0),2)="Cores",IF(HostBuild[Use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4" s="59">
        <f>IFERROR(IF(FIND(EA$1,$W124)&gt;0,IF(INDEX([1]!Product_Pricing_Table[#Data],MATCH(EA$1,Products,0),2)="Cores",IF(HostBuild[Use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4" s="59">
        <f>IFERROR(IF(FIND(EB$1,$W124)&gt;0,IF(INDEX([1]!Product_Pricing_Table[#Data],MATCH(EB$1,Products,0),2)="Cores",IF(HostBuild[Use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4" s="60">
        <f>IFERROR(IF(FIND(EC$1,$W124)&gt;0,IF(INDEX([1]!Product_Pricing_Table[#Data],MATCH(EC$1,Products,0),2)="Cores",IF(HostBuild[Use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4" s="59">
        <f>IFERROR(IF(FIND(ED$1,$W124)&gt;0,IF(INDEX([1]!Product_Pricing_Table[#Data],MATCH(ED$1,Products,0),2)="Cores",IF(HostBuild[Use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4" s="59">
        <f>IFERROR(IF(FIND(EE$1,$W124)&gt;0,IF(INDEX([1]!Product_Pricing_Table[#Data],MATCH(EE$1,Products,0),2)="Cores",IF(HostBuild[Use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4" s="59">
        <f>IFERROR(IF(FIND(EF$1,$W124)&gt;0,IF(INDEX([1]!Product_Pricing_Table[#Data],MATCH(EF$1,Products,0),2)="Cores",IF(HostBuild[Use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4" s="59">
        <f>IFERROR(IF(FIND(EG$1,$W124)&gt;0,IF(INDEX([1]!Product_Pricing_Table[#Data],MATCH(EG$1,Products,0),2)="Cores",IF(HostBuild[Use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4" s="59">
        <f>IFERROR(IF(FIND(EH$1,$W124)&gt;0,IF(INDEX([1]!Product_Pricing_Table[#Data],MATCH(EH$1,Products,0),2)="Cores",IF(HostBuild[Use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4" s="59">
        <f>IFERROR(IF(FIND(EI$1,$W124)&gt;0,IF(INDEX([1]!Product_Pricing_Table[#Data],MATCH(EI$1,Products,0),2)="Cores",IF(HostBuild[Use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4" s="59">
        <f>IFERROR(IF(FIND(EJ$1,$W124)&gt;0,IF(INDEX([1]!Product_Pricing_Table[#Data],MATCH(EJ$1,Products,0),2)="Cores",IF(HostBuild[Use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4" s="60">
        <f>IFERROR(IF(FIND(EK$1,$W124)&gt;0,IF(INDEX([1]!Product_Pricing_Table[#Data],MATCH(EK$1,Products,0),2)="Cores",IF(HostBuild[Use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4" s="61"/>
      <c r="EM124" s="62">
        <v>0</v>
      </c>
      <c r="EN124" s="63">
        <v>0</v>
      </c>
      <c r="EO124"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2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24" s="132">
        <f>(HostBuild[Archive
Full (GB)]+HostBuild[Archive
Incr (GB)])*Storage_DC_Dist_Tape_2014</f>
        <v>81.385500000000008</v>
      </c>
      <c r="ER124" s="132">
        <f>IF(ISNUMBER(HostBuild[Server HW Costs
(Monthly)]),SUM(HostBuild[[#This Row],[Server HW Costs
(Monthly)]:[Tape Costs
(Monthly)]]),0)</f>
        <v>1334.0455000000002</v>
      </c>
      <c r="ES124" s="65">
        <f>HostBuild[Software Costs
'[Year 1']
(Monthly)]+HostBuild[Total Hardware Costs
(Monthly)]</f>
        <v>1334.0455000000002</v>
      </c>
      <c r="ET124" s="65">
        <f>IFERROR(IF(FIND("Safenet",HostBuild[Server Model]),Safenet_PSE_PL600_Maint,0),0)+IFERROR(IF(FIND("XI52",HostBuild[Server Model]),IBM_DIA_XI52_Maint,0),0)+HostBuild[Software Costs
'[After Year 1']
(Monthly)]+HostBuild[Total Hardware Costs
(Monthly)]</f>
        <v>1334.0455000000002</v>
      </c>
      <c r="EU124" s="66">
        <f>SUM(HostBuild[[#This Row],[Server Cost Breakdown]:[Network Cost]])</f>
        <v>888.7</v>
      </c>
      <c r="EV124" s="67">
        <f>IF(HostBuild[Existing Server?]="Yes - Inside this BoM",0,SUMIF(HostBuild[Alias],HostBuild[Alias],HostBuild[CPU])+SUMIF(HostBuild[Alias],HostBuild[Alias],HostBuild[Existing CPUs]))</f>
        <v>2</v>
      </c>
      <c r="EW124" s="67">
        <f>IF(HostBuild[Existing Server?]="Yes - Inside this BoM",0,SUMIF(HostBuild[Alias],HostBuild[Alias],HostBuild[Cores 
(Licensed Units)])+SUMIF(HostBuild[Alias],HostBuild[Alias],HostBuild[Existing Cores]))</f>
        <v>16</v>
      </c>
      <c r="EX124" s="67">
        <f>IF(HostBuild[Existing Server?]="Yes - Inside this BoM",0,SUMIF(HostBuild[Alias],HostBuild[Alias],HostBuild[RAM 
(GB)])+SUMIF(HostBuild[Alias],HostBuild[Alias],HostBuild[Existing RAM (GB)]))</f>
        <v>128</v>
      </c>
      <c r="EY12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4" s="66">
        <f>IF(ISBLANK(HostBuild[Server Model]),0,IF(HostBuild[Server Tier]="VMware",0,VLOOKUP(HostBuild[Server Tier],[1]!ServerTierRates[#Data],2,0))*HostBuild[CPU]*IF(AND(HostBuild[Server Type]="pSeries",HostBuild[Virtual Platform Storage Type]="Cloud-SAN"),0.25,1))</f>
        <v>608</v>
      </c>
      <c r="FD124" s="66">
        <f>0</f>
        <v>0</v>
      </c>
      <c r="FE124" s="66">
        <f>IF(HostBuild[Server Type]="VMware",HostBuild[RAM 
(GB)]*IF(ISERROR(FIND("DevCloud", HostBuild[Server Model])&gt;0),vRAM_per_vCPU_2014_Monthly,vRAM_per_vCPU_2014_Daily*30),0)</f>
        <v>0</v>
      </c>
      <c r="FF12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2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4" s="69">
        <f>IF(HostBuild[Server Tier]="VMware",0,IF(LEFT(HostBuild[Existing Server?],3)="Yes",0,IF(OR(HostBuild[Server Type]="Sun",HostBuild[Server Type]="pSeries"),Support_Direct_Server_Sun_per_OS_2014,IF(HostBuild[Server Type]="x86",Support_Direct_Server_x86_Wintel_per_OS_2014,0))))</f>
        <v>187.1</v>
      </c>
      <c r="FI12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5" spans="1:165" hidden="1">
      <c r="A125" s="122" t="s">
        <v>53</v>
      </c>
      <c r="B125" s="36"/>
      <c r="C125" s="36"/>
      <c r="D125" s="36"/>
      <c r="E125" s="37"/>
      <c r="F125" s="37"/>
      <c r="G125" s="103"/>
      <c r="H125" s="103"/>
      <c r="I125" s="38"/>
      <c r="J125" s="37"/>
      <c r="K125" s="37"/>
      <c r="L125" s="37"/>
      <c r="M125" s="103" t="e">
        <f ca="1">IF(rngIsDate(HostBuild[CTO Acceptance]),"Y","N")</f>
        <v>#NAME?</v>
      </c>
      <c r="N125" s="123" t="s">
        <v>3</v>
      </c>
      <c r="O125" s="39"/>
      <c r="P125" s="39"/>
      <c r="Q125" s="123" t="s">
        <v>1</v>
      </c>
      <c r="R125" s="126" t="str">
        <f>IF(NOT(ISBLANK(HostBuild[Env Label])),IFERROR(VLOOKUP(HostBuild[Env Label],[1]!tEnv[#Data],3,FALSE),""),"")</f>
        <v/>
      </c>
      <c r="S125" s="104"/>
      <c r="T125" s="40"/>
      <c r="U125" s="105"/>
      <c r="V125" s="123" t="s">
        <v>7</v>
      </c>
      <c r="W125" s="123" t="s">
        <v>186</v>
      </c>
      <c r="X125" s="123" t="s">
        <v>187</v>
      </c>
      <c r="Y125" s="123" t="s">
        <v>188</v>
      </c>
      <c r="Z125" s="126" t="str">
        <f>IF(NOT(ISBLANK(HostBuild[[#This Row],[Product 
(Acronym)]])),CONCATENATE(HostBuild[[#This Row],[Type]],"-",HostBuild[[#This Row],[Product 
(Acronym)]]),"")</f>
        <v>WW-CBOL</v>
      </c>
      <c r="AA125" s="106"/>
      <c r="AB125" s="106" t="s">
        <v>76</v>
      </c>
      <c r="AC125" s="41"/>
      <c r="AD125" s="42"/>
      <c r="AE125" s="42"/>
      <c r="AF125" s="43"/>
      <c r="AG125" s="124"/>
      <c r="AH125" s="107"/>
      <c r="AI125" s="124" t="s">
        <v>194</v>
      </c>
      <c r="AJ125" s="123">
        <f>IF(COUNTIF(HostBuild[Alias],HostBuild[Alias]),1/COUNTIF(HostBuild[Alias],HostBuild[Alias]),0)</f>
        <v>1</v>
      </c>
      <c r="AK125" s="124"/>
      <c r="AL125" s="124"/>
      <c r="AM125" s="44" t="s">
        <v>62</v>
      </c>
      <c r="AN125" s="45" t="str">
        <f>IF(NOT(ISBLANK(HostBuild[Server Model])),VLOOKUP(HostBuild[Server Model],[1]!ServerModelsTier[#Data],2,FALSE),"")</f>
        <v>x86 Tier 3</v>
      </c>
      <c r="AO125" s="45" t="str">
        <f>IF(NOT(ISBLANK(HostBuild[Server Model])),VLOOKUP(HostBuild[Server Model],[1]!ServerModelsTier[#Data],5,FALSE),"")</f>
        <v>x86</v>
      </c>
      <c r="AP125" s="44"/>
      <c r="AQ125" s="44" t="s">
        <v>63</v>
      </c>
      <c r="AR125" s="46">
        <v>2</v>
      </c>
      <c r="AS125" s="108"/>
      <c r="AT125" s="47">
        <v>16</v>
      </c>
      <c r="AU125" s="109" t="str">
        <f>IF(IFERROR(FIND("P-Series",HostBuild[Server Tier]),0),CEILING((HostBuild[Existing CPUs]+HostBuild[CPU])*16,8),"")</f>
        <v/>
      </c>
      <c r="AV125" s="48">
        <v>128</v>
      </c>
      <c r="AW125" s="124"/>
      <c r="AX125" s="124"/>
      <c r="AY125" s="124"/>
      <c r="AZ125" s="49"/>
      <c r="BA125" s="124"/>
      <c r="BB125" s="124"/>
      <c r="BC125" s="42"/>
      <c r="BD125" s="124"/>
      <c r="BE125" s="124"/>
      <c r="BF125" s="124"/>
      <c r="BG125" s="124"/>
      <c r="BH125" s="124"/>
      <c r="BI125" s="124"/>
      <c r="BJ125" s="124"/>
      <c r="BK125"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25" s="127">
        <v>600</v>
      </c>
      <c r="BM125" s="129">
        <f>IF(ISNUMBER(HostBuild[Recommended SAN (GB)]),HostBuild[Recommended SAN (GB)])+IF(HostBuild[Additional SAN (GB)]&gt;0,CEILING(HostBuild[Additional SAN (GB)],LUN),-(CEILING(-HostBuild[Additional SAN (GB)],LUN)))</f>
        <v>808.80000000000007</v>
      </c>
      <c r="BN125" s="128"/>
      <c r="BO125" s="129">
        <f>HostBuild[SAN (GB)
NEEDED TODAY]+CEILING(HostBuild[SAN (GB)
RESERVED
DO NOT USE TO BUILD], LUN)</f>
        <v>808.80000000000007</v>
      </c>
      <c r="BP125" s="130"/>
      <c r="BQ125" s="131"/>
      <c r="BR125" s="125" t="s">
        <v>76</v>
      </c>
      <c r="BS125" s="110">
        <f>IF(HostBuild[Existing Server?]&lt;&gt;"Yes - Inside this BoM",IF(ISNUMBER(HostBuild[RAM 
(GB)]),IF(HostBuild[Existing RAM (GB)]+HostBuild[RAM 
(GB)]&gt;0,IF(HostBuild[Virtual Platform Storage Type]="NAS",110+HostBuild[Existing RAM (GB)]+HostBuild[RAM 
(GB)]*1.75,0),0),0),0)</f>
        <v>0</v>
      </c>
      <c r="BT125" s="111"/>
      <c r="BU125" s="112">
        <f>IF(ISNUMBER(HostBuild[Recommended NAS (GB)]),HostBuild[Recommended NAS (GB)])+HostBuild[Additional NAS (GB)]</f>
        <v>0</v>
      </c>
      <c r="BV125" s="50"/>
      <c r="BW125" s="50"/>
      <c r="BX125" s="133">
        <f>IFERROR((HostBuild[SAN (GB)
End-State
DO NOT USE TO BUILD]+HostBuild[SAN (GB) Shared])*25%,"")</f>
        <v>202.20000000000002</v>
      </c>
      <c r="BY125" s="113">
        <f>IFERROR(HostBuild[Archive
Full (GB)]*15%,"")</f>
        <v>30.330000000000002</v>
      </c>
      <c r="BZ125" s="51"/>
      <c r="CA125" s="51"/>
      <c r="CB125" s="52"/>
      <c r="CC125" s="53"/>
      <c r="CD125" s="52"/>
      <c r="CE125" s="54"/>
      <c r="CF125" s="128"/>
      <c r="CG125" s="114"/>
      <c r="CH125" s="55"/>
      <c r="CI125" s="56"/>
      <c r="CJ125" s="57"/>
      <c r="CK125" s="58"/>
      <c r="CL125" s="59">
        <f>IFERROR(IF(FIND(CL$1,$W125)&gt;0,IF(INDEX([1]!Product_Pricing_Table[#Data],MATCH(CL$1,Products,0),2)="Cores",IF(HostBuild[Use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5" s="59">
        <f>IFERROR(IF(FIND(CM$1,$W125)&gt;0,IF(INDEX([1]!Product_Pricing_Table[#Data],MATCH(CM$1,Products,0),2)="Cores",IF(HostBuild[Use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5" s="59">
        <f>IFERROR(IF(FIND(CN$1,$W125)&gt;0,IF(INDEX([1]!Product_Pricing_Table[#Data],MATCH(CN$1,Products,0),2)="Cores",IF(HostBuild[Use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5" s="59">
        <f>IFERROR(IF(FIND(CO$1,$W125)&gt;0,IF(INDEX([1]!Product_Pricing_Table[#Data],MATCH(CO$1,Products,0),2)="Cores",IF(HostBuild[Use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5" s="59">
        <f>IFERROR(IF(FIND(CP$1,$W125)&gt;0,IF(INDEX([1]!Product_Pricing_Table[#Data],MATCH(CP$1,Products,0),2)="Cores",IF(HostBuild[Use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5" s="59">
        <f>IFERROR(IF(FIND(CQ$1,$W125)&gt;0,IF(INDEX([1]!Product_Pricing_Table[#Data],MATCH(CQ$1,Products,0),2)="Cores",IF(HostBuild[Use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5" s="59">
        <f>IFERROR(IF(FIND(CR$1,$W125)&gt;0,IF(INDEX([1]!Product_Pricing_Table[#Data],MATCH(CR$1,Products,0),2)="Cores",IF(HostBuild[Use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5" s="59">
        <f>IFERROR(IF(FIND(CS$1,$W125)&gt;0,IF(INDEX([1]!Product_Pricing_Table[#Data],MATCH(CS$1,Products,0),2)="Cores",IF(HostBuild[Use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5" s="59">
        <f>IFERROR(IF(FIND(CT$1,$W125)&gt;0,IF(INDEX([1]!Product_Pricing_Table[#Data],MATCH(CT$1,Products,0),2)="Cores",IF(HostBuild[Use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5" s="59">
        <f>IFERROR(IF(FIND(CU$1,$W125)&gt;0,IF(INDEX([1]!Product_Pricing_Table[#Data],MATCH(CU$1,Products,0),2)="Cores",IF(HostBuild[Use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5" s="59">
        <f>IFERROR(IF(FIND(CV$1,$W125)&gt;0,IF(INDEX([1]!Product_Pricing_Table[#Data],MATCH(CV$1,Products,0),2)="Cores",IF(HostBuild[Use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5" s="59">
        <f>IFERROR(IF(FIND(CW$1,$W125)&gt;0,IF(INDEX([1]!Product_Pricing_Table[#Data],MATCH(CW$1,Products,0),2)="Cores",IF(HostBuild[Use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5" s="59">
        <f>IFERROR(IF(FIND(CX$1,$W125)&gt;0,IF(INDEX([1]!Product_Pricing_Table[#Data],MATCH(CX$1,Products,0),2)="Cores",IF(HostBuild[Use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5" s="59">
        <f>IFERROR(IF(FIND(CY$1,$W125)&gt;0,IF(INDEX([1]!Product_Pricing_Table[#Data],MATCH(CY$1,Products,0),2)="Cores",IF(HostBuild[Use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5" s="59">
        <f>IFERROR(IF(FIND(CZ$1,$W125)&gt;0,IF(INDEX([1]!Product_Pricing_Table[#Data],MATCH(CZ$1,Products,0),2)="Cores",IF(HostBuild[Use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5" s="59">
        <f>IFERROR(IF(FIND(DA$1,$W125)&gt;0,IF(INDEX([1]!Product_Pricing_Table[#Data],MATCH(DA$1,Products,0),2)="Cores",IF(HostBuild[Use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5" s="59">
        <f>IFERROR(IF(FIND(DB$1,$W125)&gt;0,IF(INDEX([1]!Product_Pricing_Table[#Data],MATCH(DB$1,Products,0),2)="Cores",IF(HostBuild[Use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5" s="59">
        <f>IFERROR(IF(FIND(DC$1,$W125)&gt;0,IF(INDEX([1]!Product_Pricing_Table[#Data],MATCH(DC$1,Products,0),2)="Cores",IF(HostBuild[Use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5" s="59">
        <f>IFERROR(IF(FIND(DD$1,$W125)&gt;0,IF(INDEX([1]!Product_Pricing_Table[#Data],MATCH(DD$1,Products,0),2)="Cores",IF(HostBuild[Use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5" s="59">
        <f>IFERROR(IF(FIND(DE$1,$W125)&gt;0,IF(INDEX([1]!Product_Pricing_Table[#Data],MATCH(DE$1,Products,0),2)="Cores",IF(HostBuild[Use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5" s="60">
        <f>IFERROR(IF(FIND(DF$1,$W125)&gt;0,IF(INDEX([1]!Product_Pricing_Table[#Data],MATCH(DF$1,Products,0),2)="Cores",IF(HostBuild[Use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5" s="60">
        <f>IFERROR(IF(FIND(DG$1,$W125)&gt;0,IF(INDEX([1]!Product_Pricing_Table[#Data],MATCH(DG$1,Products,0),2)="Cores",IF(HostBuild[Use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5" s="59">
        <f>IFERROR(IF(FIND(DH$1,$W125)&gt;0,IF(INDEX([1]!Product_Pricing_Table[#Data],MATCH(DH$1,Products,0),2)="Cores",IF(HostBuild[Use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5" s="60">
        <f>IFERROR(IF(FIND(DI$1,$W125)&gt;0,IF(INDEX([1]!Product_Pricing_Table[#Data],MATCH(DI$1,Products,0),2)="Cores",IF(HostBuild[Use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5" s="59">
        <f>IFERROR(IF(FIND(DJ$1,$W125)&gt;0,IF(INDEX([1]!Product_Pricing_Table[#Data],MATCH(DJ$1,Products,0),2)="Cores",IF(HostBuild[Use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5" s="59">
        <f>IFERROR(IF(FIND(DK$1,$W125)&gt;0,IF(INDEX([1]!Product_Pricing_Table[#Data],MATCH(DK$1,Products,0),2)="Cores",IF(HostBuild[Use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5" s="59">
        <f>IFERROR(IF(FIND(DL$1,$W125)&gt;0,IF(INDEX([1]!Product_Pricing_Table[#Data],MATCH(DL$1,Products,0),2)="Cores",IF(HostBuild[Use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5" s="59">
        <f>IFERROR(IF(FIND(DM$1,$W125)&gt;0,IF(INDEX([1]!Product_Pricing_Table[#Data],MATCH(DM$1,Products,0),2)="Cores",IF(HostBuild[Use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5" s="59">
        <f>IFERROR(IF(FIND(DN$1,$W125)&gt;0,IF(INDEX([1]!Product_Pricing_Table[#Data],MATCH(DN$1,Products,0),2)="Cores",IF(HostBuild[Use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5" s="59">
        <f>IFERROR(IF(FIND(DO$1,$W125)&gt;0,IF(INDEX([1]!Product_Pricing_Table[#Data],MATCH(DO$1,Products,0),2)="Cores",IF(HostBuild[Use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5" s="59">
        <f>IFERROR(IF(FIND(DP$1,$W125)&gt;0,IF(INDEX([1]!Product_Pricing_Table[#Data],MATCH(DP$1,Products,0),2)="Cores",IF(HostBuild[Use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5" s="59">
        <f>IFERROR(IF(FIND(DQ$1,$W125)&gt;0,IF(INDEX([1]!Product_Pricing_Table[#Data],MATCH(DQ$1,Products,0),2)="Cores",IF(HostBuild[Use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5" s="59">
        <f>IFERROR(IF(FIND(DR$1,$W125)&gt;0,IF(INDEX([1]!Product_Pricing_Table[#Data],MATCH(DR$1,Products,0),2)="Cores",IF(HostBuild[Use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5" s="59">
        <f>IFERROR(IF(FIND(DS$1,$W125)&gt;0,IF(INDEX([1]!Product_Pricing_Table[#Data],MATCH(DS$1,Products,0),2)="Cores",IF(HostBuild[Use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5" s="59">
        <f>IFERROR(IF(FIND(DT$1,$W125)&gt;0,IF(INDEX([1]!Product_Pricing_Table[#Data],MATCH(DT$1,Products,0),2)="Cores",IF(HostBuild[Use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5" s="59">
        <f>IFERROR(IF(FIND(DU$1,$W125)&gt;0,IF(INDEX([1]!Product_Pricing_Table[#Data],MATCH(DU$1,Products,0),2)="Cores",IF(HostBuild[Use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5" s="59">
        <f>IFERROR(IF(FIND(DV$1,$W125)&gt;0,IF(INDEX([1]!Product_Pricing_Table[#Data],MATCH(DV$1,Products,0),2)="Cores",IF(HostBuild[Use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5" s="59">
        <f>IFERROR(IF(FIND(DW$1,$W125)&gt;0,IF(INDEX([1]!Product_Pricing_Table[#Data],MATCH(DW$1,Products,0),2)="Cores",IF(HostBuild[Use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5" s="59">
        <f>IFERROR(IF(FIND(DX$1,$W125)&gt;0,IF(INDEX([1]!Product_Pricing_Table[#Data],MATCH(DX$1,Products,0),2)="Cores",IF(HostBuild[Use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5" s="59">
        <f>IFERROR(IF(FIND(DY$1,$W125)&gt;0,IF(INDEX([1]!Product_Pricing_Table[#Data],MATCH(DY$1,Products,0),2)="Cores",IF(HostBuild[Use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5" s="59">
        <f>IFERROR(IF(FIND(DZ$1,$W125)&gt;0,IF(INDEX([1]!Product_Pricing_Table[#Data],MATCH(DZ$1,Products,0),2)="Cores",IF(HostBuild[Use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5" s="59">
        <f>IFERROR(IF(FIND(EA$1,$W125)&gt;0,IF(INDEX([1]!Product_Pricing_Table[#Data],MATCH(EA$1,Products,0),2)="Cores",IF(HostBuild[Use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5" s="59">
        <f>IFERROR(IF(FIND(EB$1,$W125)&gt;0,IF(INDEX([1]!Product_Pricing_Table[#Data],MATCH(EB$1,Products,0),2)="Cores",IF(HostBuild[Use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5" s="60">
        <f>IFERROR(IF(FIND(EC$1,$W125)&gt;0,IF(INDEX([1]!Product_Pricing_Table[#Data],MATCH(EC$1,Products,0),2)="Cores",IF(HostBuild[Use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5" s="59">
        <f>IFERROR(IF(FIND(ED$1,$W125)&gt;0,IF(INDEX([1]!Product_Pricing_Table[#Data],MATCH(ED$1,Products,0),2)="Cores",IF(HostBuild[Use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5" s="59">
        <f>IFERROR(IF(FIND(EE$1,$W125)&gt;0,IF(INDEX([1]!Product_Pricing_Table[#Data],MATCH(EE$1,Products,0),2)="Cores",IF(HostBuild[Use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5" s="59">
        <f>IFERROR(IF(FIND(EF$1,$W125)&gt;0,IF(INDEX([1]!Product_Pricing_Table[#Data],MATCH(EF$1,Products,0),2)="Cores",IF(HostBuild[Use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5" s="59">
        <f>IFERROR(IF(FIND(EG$1,$W125)&gt;0,IF(INDEX([1]!Product_Pricing_Table[#Data],MATCH(EG$1,Products,0),2)="Cores",IF(HostBuild[Use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5" s="59">
        <f>IFERROR(IF(FIND(EH$1,$W125)&gt;0,IF(INDEX([1]!Product_Pricing_Table[#Data],MATCH(EH$1,Products,0),2)="Cores",IF(HostBuild[Use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5" s="59">
        <f>IFERROR(IF(FIND(EI$1,$W125)&gt;0,IF(INDEX([1]!Product_Pricing_Table[#Data],MATCH(EI$1,Products,0),2)="Cores",IF(HostBuild[Use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5" s="59">
        <f>IFERROR(IF(FIND(EJ$1,$W125)&gt;0,IF(INDEX([1]!Product_Pricing_Table[#Data],MATCH(EJ$1,Products,0),2)="Cores",IF(HostBuild[Use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5" s="60">
        <f>IFERROR(IF(FIND(EK$1,$W125)&gt;0,IF(INDEX([1]!Product_Pricing_Table[#Data],MATCH(EK$1,Products,0),2)="Cores",IF(HostBuild[Use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5" s="61"/>
      <c r="EM125" s="62"/>
      <c r="EN125" s="63"/>
      <c r="EO125"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2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25" s="132">
        <f>(HostBuild[Archive
Full (GB)]+HostBuild[Archive
Incr (GB)])*Storage_DC_Dist_Tape_2014</f>
        <v>81.385500000000008</v>
      </c>
      <c r="ER125" s="132">
        <f>IF(ISNUMBER(HostBuild[Server HW Costs
(Monthly)]),SUM(HostBuild[[#This Row],[Server HW Costs
(Monthly)]:[Tape Costs
(Monthly)]]),0)</f>
        <v>1334.0455000000002</v>
      </c>
      <c r="ES125" s="65">
        <f>HostBuild[Software Costs
'[Year 1']
(Monthly)]+HostBuild[Total Hardware Costs
(Monthly)]</f>
        <v>1334.0455000000002</v>
      </c>
      <c r="ET125" s="65">
        <f>IFERROR(IF(FIND("Safenet",HostBuild[Server Model]),Safenet_PSE_PL600_Maint,0),0)+IFERROR(IF(FIND("XI52",HostBuild[Server Model]),IBM_DIA_XI52_Maint,0),0)+HostBuild[Software Costs
'[After Year 1']
(Monthly)]+HostBuild[Total Hardware Costs
(Monthly)]</f>
        <v>1334.0455000000002</v>
      </c>
      <c r="EU125" s="66">
        <f>SUM(HostBuild[[#This Row],[Server Cost Breakdown]:[Network Cost]])</f>
        <v>888.7</v>
      </c>
      <c r="EV125" s="67">
        <f>IF(HostBuild[Existing Server?]="Yes - Inside this BoM",0,SUMIF(HostBuild[Alias],HostBuild[Alias],HostBuild[CPU])+SUMIF(HostBuild[Alias],HostBuild[Alias],HostBuild[Existing CPUs]))</f>
        <v>2</v>
      </c>
      <c r="EW125" s="67">
        <f>IF(HostBuild[Existing Server?]="Yes - Inside this BoM",0,SUMIF(HostBuild[Alias],HostBuild[Alias],HostBuild[Cores 
(Licensed Units)])+SUMIF(HostBuild[Alias],HostBuild[Alias],HostBuild[Existing Cores]))</f>
        <v>16</v>
      </c>
      <c r="EX125" s="67">
        <f>IF(HostBuild[Existing Server?]="Yes - Inside this BoM",0,SUMIF(HostBuild[Alias],HostBuild[Alias],HostBuild[RAM 
(GB)])+SUMIF(HostBuild[Alias],HostBuild[Alias],HostBuild[Existing RAM (GB)]))</f>
        <v>128</v>
      </c>
      <c r="EY12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5" s="66">
        <f>IF(ISBLANK(HostBuild[Server Model]),0,IF(HostBuild[Server Tier]="VMware",0,VLOOKUP(HostBuild[Server Tier],[1]!ServerTierRates[#Data],2,0))*HostBuild[CPU]*IF(AND(HostBuild[Server Type]="pSeries",HostBuild[Virtual Platform Storage Type]="Cloud-SAN"),0.25,1))</f>
        <v>608</v>
      </c>
      <c r="FD125" s="66">
        <f>0</f>
        <v>0</v>
      </c>
      <c r="FE125" s="66">
        <f>IF(HostBuild[Server Type]="VMware",HostBuild[RAM 
(GB)]*IF(ISERROR(FIND("DevCloud", HostBuild[Server Model])&gt;0),vRAM_per_vCPU_2014_Monthly,vRAM_per_vCPU_2014_Daily*30),0)</f>
        <v>0</v>
      </c>
      <c r="FF12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2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5" s="69">
        <f>IF(HostBuild[Server Tier]="VMware",0,IF(LEFT(HostBuild[Existing Server?],3)="Yes",0,IF(OR(HostBuild[Server Type]="Sun",HostBuild[Server Type]="pSeries"),Support_Direct_Server_Sun_per_OS_2014,IF(HostBuild[Server Type]="x86",Support_Direct_Server_x86_Wintel_per_OS_2014,0))))</f>
        <v>187.1</v>
      </c>
      <c r="FI12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6" spans="1:165" hidden="1">
      <c r="A126" s="122" t="s">
        <v>53</v>
      </c>
      <c r="B126" s="36"/>
      <c r="C126" s="36"/>
      <c r="D126" s="36"/>
      <c r="E126" s="37"/>
      <c r="F126" s="37"/>
      <c r="G126" s="103"/>
      <c r="H126" s="103"/>
      <c r="I126" s="38"/>
      <c r="J126" s="37"/>
      <c r="K126" s="37"/>
      <c r="L126" s="37"/>
      <c r="M126" s="103" t="e">
        <f ca="1">IF(rngIsDate(HostBuild[CTO Acceptance]),"Y","N")</f>
        <v>#NAME?</v>
      </c>
      <c r="N126" s="123" t="s">
        <v>4</v>
      </c>
      <c r="O126" s="39"/>
      <c r="P126" s="39"/>
      <c r="Q126" s="123" t="s">
        <v>192</v>
      </c>
      <c r="R126" s="126" t="str">
        <f>IF(NOT(ISBLANK(HostBuild[Env Label])),IFERROR(VLOOKUP(HostBuild[Env Label],[1]!tEnv[#Data],3,FALSE),""),"")</f>
        <v/>
      </c>
      <c r="S126" s="104"/>
      <c r="T126" s="40"/>
      <c r="U126" s="105"/>
      <c r="V126" s="123" t="s">
        <v>45</v>
      </c>
      <c r="W126" s="123" t="s">
        <v>190</v>
      </c>
      <c r="X126" s="123" t="s">
        <v>57</v>
      </c>
      <c r="Y126" s="123" t="s">
        <v>188</v>
      </c>
      <c r="Z126" s="126" t="str">
        <f>IF(NOT(ISBLANK(HostBuild[[#This Row],[Product 
(Acronym)]])),CONCATENATE(HostBuild[[#This Row],[Type]],"-",HostBuild[[#This Row],[Product 
(Acronym)]]),"")</f>
        <v>AP-CBOL</v>
      </c>
      <c r="AA126" s="106"/>
      <c r="AB126" s="106" t="s">
        <v>76</v>
      </c>
      <c r="AC126" s="41"/>
      <c r="AD126" s="42"/>
      <c r="AE126" s="42"/>
      <c r="AF126" s="43"/>
      <c r="AG126" s="124"/>
      <c r="AH126" s="107"/>
      <c r="AI126" s="124" t="s">
        <v>195</v>
      </c>
      <c r="AJ126" s="123">
        <f>IF(COUNTIF(HostBuild[Alias],HostBuild[Alias]),1/COUNTIF(HostBuild[Alias],HostBuild[Alias]),0)</f>
        <v>1</v>
      </c>
      <c r="AK126" s="124"/>
      <c r="AL126" s="124"/>
      <c r="AM126" s="44" t="s">
        <v>62</v>
      </c>
      <c r="AN126" s="45" t="str">
        <f>IF(NOT(ISBLANK(HostBuild[Server Model])),VLOOKUP(HostBuild[Server Model],[1]!ServerModelsTier[#Data],2,FALSE),"")</f>
        <v>x86 Tier 3</v>
      </c>
      <c r="AO126" s="45" t="str">
        <f>IF(NOT(ISBLANK(HostBuild[Server Model])),VLOOKUP(HostBuild[Server Model],[1]!ServerModelsTier[#Data],5,FALSE),"")</f>
        <v>x86</v>
      </c>
      <c r="AP126" s="44"/>
      <c r="AQ126" s="44" t="s">
        <v>63</v>
      </c>
      <c r="AR126" s="46">
        <v>2</v>
      </c>
      <c r="AS126" s="108"/>
      <c r="AT126" s="47">
        <v>16</v>
      </c>
      <c r="AU126" s="109" t="str">
        <f>IF(IFERROR(FIND("P-Series",HostBuild[Server Tier]),0),CEILING((HostBuild[Existing CPUs]+HostBuild[CPU])*16,8),"")</f>
        <v/>
      </c>
      <c r="AV126" s="48">
        <v>128</v>
      </c>
      <c r="AW126" s="124"/>
      <c r="AX126" s="124"/>
      <c r="AY126" s="124"/>
      <c r="AZ126" s="49"/>
      <c r="BA126" s="124"/>
      <c r="BB126" s="124"/>
      <c r="BC126" s="42"/>
      <c r="BD126" s="124"/>
      <c r="BE126" s="124"/>
      <c r="BF126" s="124"/>
      <c r="BG126" s="124"/>
      <c r="BH126" s="124"/>
      <c r="BI126" s="124"/>
      <c r="BJ126" s="124"/>
      <c r="BK126"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26" s="127">
        <v>600</v>
      </c>
      <c r="BM126" s="129">
        <f>IF(ISNUMBER(HostBuild[Recommended SAN (GB)]),HostBuild[Recommended SAN (GB)])+IF(HostBuild[Additional SAN (GB)]&gt;0,CEILING(HostBuild[Additional SAN (GB)],LUN),-(CEILING(-HostBuild[Additional SAN (GB)],LUN)))</f>
        <v>808.80000000000007</v>
      </c>
      <c r="BN126" s="128"/>
      <c r="BO126" s="129">
        <f>HostBuild[SAN (GB)
NEEDED TODAY]+CEILING(HostBuild[SAN (GB)
RESERVED
DO NOT USE TO BUILD], LUN)</f>
        <v>808.80000000000007</v>
      </c>
      <c r="BP126" s="130"/>
      <c r="BQ126" s="131"/>
      <c r="BR126" s="125" t="s">
        <v>76</v>
      </c>
      <c r="BS126" s="110">
        <f>IF(HostBuild[Existing Server?]&lt;&gt;"Yes - Inside this BoM",IF(ISNUMBER(HostBuild[RAM 
(GB)]),IF(HostBuild[Existing RAM (GB)]+HostBuild[RAM 
(GB)]&gt;0,IF(HostBuild[Virtual Platform Storage Type]="NAS",110+HostBuild[Existing RAM (GB)]+HostBuild[RAM 
(GB)]*1.75,0),0),0),0)</f>
        <v>0</v>
      </c>
      <c r="BT126" s="111"/>
      <c r="BU126" s="112">
        <f>IF(ISNUMBER(HostBuild[Recommended NAS (GB)]),HostBuild[Recommended NAS (GB)])+HostBuild[Additional NAS (GB)]</f>
        <v>0</v>
      </c>
      <c r="BV126" s="50"/>
      <c r="BW126" s="50"/>
      <c r="BX126" s="133">
        <f>IFERROR((HostBuild[SAN (GB)
End-State
DO NOT USE TO BUILD]+HostBuild[SAN (GB) Shared])*25%,"")</f>
        <v>202.20000000000002</v>
      </c>
      <c r="BY126" s="113">
        <f>IFERROR(HostBuild[Archive
Full (GB)]*15%,"")</f>
        <v>30.330000000000002</v>
      </c>
      <c r="BZ126" s="51"/>
      <c r="CA126" s="51"/>
      <c r="CB126" s="52"/>
      <c r="CC126" s="53"/>
      <c r="CD126" s="52"/>
      <c r="CE126" s="54"/>
      <c r="CF126" s="128"/>
      <c r="CG126" s="114"/>
      <c r="CH126" s="55"/>
      <c r="CI126" s="56"/>
      <c r="CJ126" s="123" t="s">
        <v>13</v>
      </c>
      <c r="CK126" s="58"/>
      <c r="CL126" s="59">
        <f>IFERROR(IF(FIND(CL$1,$W126)&gt;0,IF(INDEX([1]!Product_Pricing_Table[#Data],MATCH(CL$1,Products,0),2)="Cores",IF(HostBuild[Use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6" s="59">
        <f>IFERROR(IF(FIND(CM$1,$W126)&gt;0,IF(INDEX([1]!Product_Pricing_Table[#Data],MATCH(CM$1,Products,0),2)="Cores",IF(HostBuild[Use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6" s="59">
        <f>IFERROR(IF(FIND(CN$1,$W126)&gt;0,IF(INDEX([1]!Product_Pricing_Table[#Data],MATCH(CN$1,Products,0),2)="Cores",IF(HostBuild[Use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6" s="59">
        <f>IFERROR(IF(FIND(CO$1,$W126)&gt;0,IF(INDEX([1]!Product_Pricing_Table[#Data],MATCH(CO$1,Products,0),2)="Cores",IF(HostBuild[Use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6" s="59">
        <f>IFERROR(IF(FIND(CP$1,$W126)&gt;0,IF(INDEX([1]!Product_Pricing_Table[#Data],MATCH(CP$1,Products,0),2)="Cores",IF(HostBuild[Use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6" s="59">
        <f>IFERROR(IF(FIND(CQ$1,$W126)&gt;0,IF(INDEX([1]!Product_Pricing_Table[#Data],MATCH(CQ$1,Products,0),2)="Cores",IF(HostBuild[Use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6" s="59">
        <f>IFERROR(IF(FIND(CR$1,$W126)&gt;0,IF(INDEX([1]!Product_Pricing_Table[#Data],MATCH(CR$1,Products,0),2)="Cores",IF(HostBuild[Use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6" s="59">
        <f>IFERROR(IF(FIND(CS$1,$W126)&gt;0,IF(INDEX([1]!Product_Pricing_Table[#Data],MATCH(CS$1,Products,0),2)="Cores",IF(HostBuild[Use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6" s="59">
        <f>IFERROR(IF(FIND(CT$1,$W126)&gt;0,IF(INDEX([1]!Product_Pricing_Table[#Data],MATCH(CT$1,Products,0),2)="Cores",IF(HostBuild[Use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6" s="59">
        <f>IFERROR(IF(FIND(CU$1,$W126)&gt;0,IF(INDEX([1]!Product_Pricing_Table[#Data],MATCH(CU$1,Products,0),2)="Cores",IF(HostBuild[Use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6" s="59">
        <f>IFERROR(IF(FIND(CV$1,$W126)&gt;0,IF(INDEX([1]!Product_Pricing_Table[#Data],MATCH(CV$1,Products,0),2)="Cores",IF(HostBuild[Use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6" s="59">
        <f>IFERROR(IF(FIND(CW$1,$W126)&gt;0,IF(INDEX([1]!Product_Pricing_Table[#Data],MATCH(CW$1,Products,0),2)="Cores",IF(HostBuild[Use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6" s="59">
        <f>IFERROR(IF(FIND(CX$1,$W126)&gt;0,IF(INDEX([1]!Product_Pricing_Table[#Data],MATCH(CX$1,Products,0),2)="Cores",IF(HostBuild[Use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6" s="59">
        <f>IFERROR(IF(FIND(CY$1,$W126)&gt;0,IF(INDEX([1]!Product_Pricing_Table[#Data],MATCH(CY$1,Products,0),2)="Cores",IF(HostBuild[Use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6" s="59">
        <f>IFERROR(IF(FIND(CZ$1,$W126)&gt;0,IF(INDEX([1]!Product_Pricing_Table[#Data],MATCH(CZ$1,Products,0),2)="Cores",IF(HostBuild[Use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6" s="59">
        <f>IFERROR(IF(FIND(DA$1,$W126)&gt;0,IF(INDEX([1]!Product_Pricing_Table[#Data],MATCH(DA$1,Products,0),2)="Cores",IF(HostBuild[Use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6" s="59">
        <f>IFERROR(IF(FIND(DB$1,$W126)&gt;0,IF(INDEX([1]!Product_Pricing_Table[#Data],MATCH(DB$1,Products,0),2)="Cores",IF(HostBuild[Use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6" s="59">
        <f>IFERROR(IF(FIND(DC$1,$W126)&gt;0,IF(INDEX([1]!Product_Pricing_Table[#Data],MATCH(DC$1,Products,0),2)="Cores",IF(HostBuild[Use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6" s="59">
        <f>IFERROR(IF(FIND(DD$1,$W126)&gt;0,IF(INDEX([1]!Product_Pricing_Table[#Data],MATCH(DD$1,Products,0),2)="Cores",IF(HostBuild[Use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6" s="59">
        <f>IFERROR(IF(FIND(DE$1,$W126)&gt;0,IF(INDEX([1]!Product_Pricing_Table[#Data],MATCH(DE$1,Products,0),2)="Cores",IF(HostBuild[Use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6" s="60">
        <f>IFERROR(IF(FIND(DF$1,$W126)&gt;0,IF(INDEX([1]!Product_Pricing_Table[#Data],MATCH(DF$1,Products,0),2)="Cores",IF(HostBuild[Use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6" s="60">
        <f>IFERROR(IF(FIND(DG$1,$W126)&gt;0,IF(INDEX([1]!Product_Pricing_Table[#Data],MATCH(DG$1,Products,0),2)="Cores",IF(HostBuild[Use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6" s="59">
        <f>IFERROR(IF(FIND(DH$1,$W126)&gt;0,IF(INDEX([1]!Product_Pricing_Table[#Data],MATCH(DH$1,Products,0),2)="Cores",IF(HostBuild[Use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6" s="60">
        <f>IFERROR(IF(FIND(DI$1,$W126)&gt;0,IF(INDEX([1]!Product_Pricing_Table[#Data],MATCH(DI$1,Products,0),2)="Cores",IF(HostBuild[Use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6" s="59">
        <f>IFERROR(IF(FIND(DJ$1,$W126)&gt;0,IF(INDEX([1]!Product_Pricing_Table[#Data],MATCH(DJ$1,Products,0),2)="Cores",IF(HostBuild[Use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6" s="59">
        <f>IFERROR(IF(FIND(DK$1,$W126)&gt;0,IF(INDEX([1]!Product_Pricing_Table[#Data],MATCH(DK$1,Products,0),2)="Cores",IF(HostBuild[Use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6" s="59">
        <f>IFERROR(IF(FIND(DL$1,$W126)&gt;0,IF(INDEX([1]!Product_Pricing_Table[#Data],MATCH(DL$1,Products,0),2)="Cores",IF(HostBuild[Use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6" s="59">
        <f>IFERROR(IF(FIND(DM$1,$W126)&gt;0,IF(INDEX([1]!Product_Pricing_Table[#Data],MATCH(DM$1,Products,0),2)="Cores",IF(HostBuild[Use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6" s="59">
        <f>IFERROR(IF(FIND(DN$1,$W126)&gt;0,IF(INDEX([1]!Product_Pricing_Table[#Data],MATCH(DN$1,Products,0),2)="Cores",IF(HostBuild[Use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6" s="59">
        <f>IFERROR(IF(FIND(DO$1,$W126)&gt;0,IF(INDEX([1]!Product_Pricing_Table[#Data],MATCH(DO$1,Products,0),2)="Cores",IF(HostBuild[Use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6" s="59">
        <f>IFERROR(IF(FIND(DP$1,$W126)&gt;0,IF(INDEX([1]!Product_Pricing_Table[#Data],MATCH(DP$1,Products,0),2)="Cores",IF(HostBuild[Use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6" s="59">
        <f>IFERROR(IF(FIND(DQ$1,$W126)&gt;0,IF(INDEX([1]!Product_Pricing_Table[#Data],MATCH(DQ$1,Products,0),2)="Cores",IF(HostBuild[Use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6" s="59">
        <f>IFERROR(IF(FIND(DR$1,$W126)&gt;0,IF(INDEX([1]!Product_Pricing_Table[#Data],MATCH(DR$1,Products,0),2)="Cores",IF(HostBuild[Use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6" s="59">
        <f>IFERROR(IF(FIND(DS$1,$W126)&gt;0,IF(INDEX([1]!Product_Pricing_Table[#Data],MATCH(DS$1,Products,0),2)="Cores",IF(HostBuild[Use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6" s="59">
        <f>IFERROR(IF(FIND(DT$1,$W126)&gt;0,IF(INDEX([1]!Product_Pricing_Table[#Data],MATCH(DT$1,Products,0),2)="Cores",IF(HostBuild[Use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6" s="59">
        <f>IFERROR(IF(FIND(DU$1,$W126)&gt;0,IF(INDEX([1]!Product_Pricing_Table[#Data],MATCH(DU$1,Products,0),2)="Cores",IF(HostBuild[Use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6" s="59">
        <f>IFERROR(IF(FIND(DV$1,$W126)&gt;0,IF(INDEX([1]!Product_Pricing_Table[#Data],MATCH(DV$1,Products,0),2)="Cores",IF(HostBuild[Use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6" s="59">
        <f>IFERROR(IF(FIND(DW$1,$W126)&gt;0,IF(INDEX([1]!Product_Pricing_Table[#Data],MATCH(DW$1,Products,0),2)="Cores",IF(HostBuild[Use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6" s="59">
        <f>IFERROR(IF(FIND(DX$1,$W126)&gt;0,IF(INDEX([1]!Product_Pricing_Table[#Data],MATCH(DX$1,Products,0),2)="Cores",IF(HostBuild[Use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6" s="59">
        <f>IFERROR(IF(FIND(DY$1,$W126)&gt;0,IF(INDEX([1]!Product_Pricing_Table[#Data],MATCH(DY$1,Products,0),2)="Cores",IF(HostBuild[Use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6" s="59">
        <f>IFERROR(IF(FIND(DZ$1,$W126)&gt;0,IF(INDEX([1]!Product_Pricing_Table[#Data],MATCH(DZ$1,Products,0),2)="Cores",IF(HostBuild[Use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6" s="59">
        <f>IFERROR(IF(FIND(EA$1,$W126)&gt;0,IF(INDEX([1]!Product_Pricing_Table[#Data],MATCH(EA$1,Products,0),2)="Cores",IF(HostBuild[Use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6" s="59">
        <f>IFERROR(IF(FIND(EB$1,$W126)&gt;0,IF(INDEX([1]!Product_Pricing_Table[#Data],MATCH(EB$1,Products,0),2)="Cores",IF(HostBuild[Use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6" s="60">
        <f>IFERROR(IF(FIND(EC$1,$W126)&gt;0,IF(INDEX([1]!Product_Pricing_Table[#Data],MATCH(EC$1,Products,0),2)="Cores",IF(HostBuild[Use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6" s="59">
        <f>IFERROR(IF(FIND(ED$1,$W126)&gt;0,IF(INDEX([1]!Product_Pricing_Table[#Data],MATCH(ED$1,Products,0),2)="Cores",IF(HostBuild[Use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6" s="59">
        <f>IFERROR(IF(FIND(EE$1,$W126)&gt;0,IF(INDEX([1]!Product_Pricing_Table[#Data],MATCH(EE$1,Products,0),2)="Cores",IF(HostBuild[Use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6" s="59">
        <f>IFERROR(IF(FIND(EF$1,$W126)&gt;0,IF(INDEX([1]!Product_Pricing_Table[#Data],MATCH(EF$1,Products,0),2)="Cores",IF(HostBuild[Use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6" s="59">
        <f>IFERROR(IF(FIND(EG$1,$W126)&gt;0,IF(INDEX([1]!Product_Pricing_Table[#Data],MATCH(EG$1,Products,0),2)="Cores",IF(HostBuild[Use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6" s="59">
        <f>IFERROR(IF(FIND(EH$1,$W126)&gt;0,IF(INDEX([1]!Product_Pricing_Table[#Data],MATCH(EH$1,Products,0),2)="Cores",IF(HostBuild[Use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6" s="59">
        <f>IFERROR(IF(FIND(EI$1,$W126)&gt;0,IF(INDEX([1]!Product_Pricing_Table[#Data],MATCH(EI$1,Products,0),2)="Cores",IF(HostBuild[Use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6" s="59">
        <f>IFERROR(IF(FIND(EJ$1,$W126)&gt;0,IF(INDEX([1]!Product_Pricing_Table[#Data],MATCH(EJ$1,Products,0),2)="Cores",IF(HostBuild[Use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6" s="60">
        <f>IFERROR(IF(FIND(EK$1,$W126)&gt;0,IF(INDEX([1]!Product_Pricing_Table[#Data],MATCH(EK$1,Products,0),2)="Cores",IF(HostBuild[Use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6" s="61"/>
      <c r="EM126" s="62">
        <v>4102</v>
      </c>
      <c r="EN126" s="63">
        <v>1638</v>
      </c>
      <c r="EO126"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2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26" s="132">
        <f>(HostBuild[Archive
Full (GB)]+HostBuild[Archive
Incr (GB)])*Storage_DC_Dist_Tape_2014</f>
        <v>81.385500000000008</v>
      </c>
      <c r="ER126" s="132">
        <f>IF(ISNUMBER(HostBuild[Server HW Costs
(Monthly)]),SUM(HostBuild[[#This Row],[Server HW Costs
(Monthly)]:[Tape Costs
(Monthly)]]),0)</f>
        <v>1334.0455000000002</v>
      </c>
      <c r="ES126" s="65">
        <f>HostBuild[Software Costs
'[Year 1']
(Monthly)]+HostBuild[Total Hardware Costs
(Monthly)]</f>
        <v>5436.0455000000002</v>
      </c>
      <c r="ET126" s="65">
        <f>IFERROR(IF(FIND("Safenet",HostBuild[Server Model]),Safenet_PSE_PL600_Maint,0),0)+IFERROR(IF(FIND("XI52",HostBuild[Server Model]),IBM_DIA_XI52_Maint,0),0)+HostBuild[Software Costs
'[After Year 1']
(Monthly)]+HostBuild[Total Hardware Costs
(Monthly)]</f>
        <v>2972.0455000000002</v>
      </c>
      <c r="EU126" s="66">
        <f>SUM(HostBuild[[#This Row],[Server Cost Breakdown]:[Network Cost]])</f>
        <v>888.7</v>
      </c>
      <c r="EV126" s="67">
        <f>IF(HostBuild[Existing Server?]="Yes - Inside this BoM",0,SUMIF(HostBuild[Alias],HostBuild[Alias],HostBuild[CPU])+SUMIF(HostBuild[Alias],HostBuild[Alias],HostBuild[Existing CPUs]))</f>
        <v>2</v>
      </c>
      <c r="EW126" s="67">
        <f>IF(HostBuild[Existing Server?]="Yes - Inside this BoM",0,SUMIF(HostBuild[Alias],HostBuild[Alias],HostBuild[Cores 
(Licensed Units)])+SUMIF(HostBuild[Alias],HostBuild[Alias],HostBuild[Existing Cores]))</f>
        <v>16</v>
      </c>
      <c r="EX126" s="67">
        <f>IF(HostBuild[Existing Server?]="Yes - Inside this BoM",0,SUMIF(HostBuild[Alias],HostBuild[Alias],HostBuild[RAM 
(GB)])+SUMIF(HostBuild[Alias],HostBuild[Alias],HostBuild[Existing RAM (GB)]))</f>
        <v>128</v>
      </c>
      <c r="EY12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6" s="66">
        <f>IF(ISBLANK(HostBuild[Server Model]),0,IF(HostBuild[Server Tier]="VMware",0,VLOOKUP(HostBuild[Server Tier],[1]!ServerTierRates[#Data],2,0))*HostBuild[CPU]*IF(AND(HostBuild[Server Type]="pSeries",HostBuild[Virtual Platform Storage Type]="Cloud-SAN"),0.25,1))</f>
        <v>608</v>
      </c>
      <c r="FD126" s="66">
        <f>0</f>
        <v>0</v>
      </c>
      <c r="FE126" s="66">
        <f>IF(HostBuild[Server Type]="VMware",HostBuild[RAM 
(GB)]*IF(ISERROR(FIND("DevCloud", HostBuild[Server Model])&gt;0),vRAM_per_vCPU_2014_Monthly,vRAM_per_vCPU_2014_Daily*30),0)</f>
        <v>0</v>
      </c>
      <c r="FF12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2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6" s="69">
        <f>IF(HostBuild[Server Tier]="VMware",0,IF(LEFT(HostBuild[Existing Server?],3)="Yes",0,IF(OR(HostBuild[Server Type]="Sun",HostBuild[Server Type]="pSeries"),Support_Direct_Server_Sun_per_OS_2014,IF(HostBuild[Server Type]="x86",Support_Direct_Server_x86_Wintel_per_OS_2014,0))))</f>
        <v>187.1</v>
      </c>
      <c r="FI12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7" spans="1:165" hidden="1">
      <c r="A127" s="122" t="s">
        <v>53</v>
      </c>
      <c r="B127" s="36"/>
      <c r="C127" s="36"/>
      <c r="D127" s="36"/>
      <c r="E127" s="37"/>
      <c r="F127" s="37"/>
      <c r="G127" s="103"/>
      <c r="H127" s="103"/>
      <c r="I127" s="38"/>
      <c r="J127" s="37"/>
      <c r="K127" s="37"/>
      <c r="L127" s="37"/>
      <c r="M127" s="103" t="e">
        <f ca="1">IF(rngIsDate(HostBuild[CTO Acceptance]),"Y","N")</f>
        <v>#NAME?</v>
      </c>
      <c r="N127" s="123" t="s">
        <v>3</v>
      </c>
      <c r="O127" s="39"/>
      <c r="P127" s="39"/>
      <c r="Q127" s="123" t="s">
        <v>1</v>
      </c>
      <c r="R127" s="126" t="str">
        <f>IF(NOT(ISBLANK(HostBuild[Env Label])),IFERROR(VLOOKUP(HostBuild[Env Label],[1]!tEnv[#Data],3,FALSE),""),"")</f>
        <v/>
      </c>
      <c r="S127" s="104"/>
      <c r="T127" s="40"/>
      <c r="U127" s="105"/>
      <c r="V127" s="123" t="s">
        <v>45</v>
      </c>
      <c r="W127" s="123" t="s">
        <v>190</v>
      </c>
      <c r="X127" s="123" t="s">
        <v>57</v>
      </c>
      <c r="Y127" s="123" t="s">
        <v>188</v>
      </c>
      <c r="Z127" s="126" t="str">
        <f>IF(NOT(ISBLANK(HostBuild[[#This Row],[Product 
(Acronym)]])),CONCATENATE(HostBuild[[#This Row],[Type]],"-",HostBuild[[#This Row],[Product 
(Acronym)]]),"")</f>
        <v>AP-CBOL</v>
      </c>
      <c r="AA127" s="106"/>
      <c r="AB127" s="106" t="s">
        <v>76</v>
      </c>
      <c r="AC127" s="41"/>
      <c r="AD127" s="42"/>
      <c r="AE127" s="42"/>
      <c r="AF127" s="43"/>
      <c r="AG127" s="124"/>
      <c r="AH127" s="107"/>
      <c r="AI127" s="124" t="s">
        <v>196</v>
      </c>
      <c r="AJ127" s="123">
        <f>IF(COUNTIF(HostBuild[Alias],HostBuild[Alias]),1/COUNTIF(HostBuild[Alias],HostBuild[Alias]),0)</f>
        <v>1</v>
      </c>
      <c r="AK127" s="124"/>
      <c r="AL127" s="124"/>
      <c r="AM127" s="44" t="s">
        <v>62</v>
      </c>
      <c r="AN127" s="45" t="str">
        <f>IF(NOT(ISBLANK(HostBuild[Server Model])),VLOOKUP(HostBuild[Server Model],[1]!ServerModelsTier[#Data],2,FALSE),"")</f>
        <v>x86 Tier 3</v>
      </c>
      <c r="AO127" s="45" t="str">
        <f>IF(NOT(ISBLANK(HostBuild[Server Model])),VLOOKUP(HostBuild[Server Model],[1]!ServerModelsTier[#Data],5,FALSE),"")</f>
        <v>x86</v>
      </c>
      <c r="AP127" s="44"/>
      <c r="AQ127" s="44" t="s">
        <v>63</v>
      </c>
      <c r="AR127" s="46">
        <v>2</v>
      </c>
      <c r="AS127" s="108"/>
      <c r="AT127" s="47">
        <v>16</v>
      </c>
      <c r="AU127" s="109" t="str">
        <f>IF(IFERROR(FIND("P-Series",HostBuild[Server Tier]),0),CEILING((HostBuild[Existing CPUs]+HostBuild[CPU])*16,8),"")</f>
        <v/>
      </c>
      <c r="AV127" s="48">
        <v>128</v>
      </c>
      <c r="AW127" s="124"/>
      <c r="AX127" s="124"/>
      <c r="AY127" s="124"/>
      <c r="AZ127" s="49"/>
      <c r="BA127" s="124"/>
      <c r="BB127" s="124"/>
      <c r="BC127" s="42"/>
      <c r="BD127" s="124"/>
      <c r="BE127" s="124"/>
      <c r="BF127" s="124"/>
      <c r="BG127" s="124"/>
      <c r="BH127" s="124"/>
      <c r="BI127" s="124"/>
      <c r="BJ127" s="124"/>
      <c r="BK127"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27" s="127">
        <v>600</v>
      </c>
      <c r="BM127" s="129">
        <f>IF(ISNUMBER(HostBuild[Recommended SAN (GB)]),HostBuild[Recommended SAN (GB)])+IF(HostBuild[Additional SAN (GB)]&gt;0,CEILING(HostBuild[Additional SAN (GB)],LUN),-(CEILING(-HostBuild[Additional SAN (GB)],LUN)))</f>
        <v>808.80000000000007</v>
      </c>
      <c r="BN127" s="128"/>
      <c r="BO127" s="129">
        <f>HostBuild[SAN (GB)
NEEDED TODAY]+CEILING(HostBuild[SAN (GB)
RESERVED
DO NOT USE TO BUILD], LUN)</f>
        <v>808.80000000000007</v>
      </c>
      <c r="BP127" s="130"/>
      <c r="BQ127" s="131"/>
      <c r="BR127" s="125" t="s">
        <v>76</v>
      </c>
      <c r="BS127" s="110">
        <f>IF(HostBuild[Existing Server?]&lt;&gt;"Yes - Inside this BoM",IF(ISNUMBER(HostBuild[RAM 
(GB)]),IF(HostBuild[Existing RAM (GB)]+HostBuild[RAM 
(GB)]&gt;0,IF(HostBuild[Virtual Platform Storage Type]="NAS",110+HostBuild[Existing RAM (GB)]+HostBuild[RAM 
(GB)]*1.75,0),0),0),0)</f>
        <v>0</v>
      </c>
      <c r="BT127" s="111"/>
      <c r="BU127" s="112">
        <f>IF(ISNUMBER(HostBuild[Recommended NAS (GB)]),HostBuild[Recommended NAS (GB)])+HostBuild[Additional NAS (GB)]</f>
        <v>0</v>
      </c>
      <c r="BV127" s="50"/>
      <c r="BW127" s="50"/>
      <c r="BX127" s="133">
        <f>IFERROR((HostBuild[SAN (GB)
End-State
DO NOT USE TO BUILD]+HostBuild[SAN (GB) Shared])*25%,"")</f>
        <v>202.20000000000002</v>
      </c>
      <c r="BY127" s="113">
        <f>IFERROR(HostBuild[Archive
Full (GB)]*15%,"")</f>
        <v>30.330000000000002</v>
      </c>
      <c r="BZ127" s="51"/>
      <c r="CA127" s="51"/>
      <c r="CB127" s="52"/>
      <c r="CC127" s="53"/>
      <c r="CD127" s="52"/>
      <c r="CE127" s="54"/>
      <c r="CF127" s="128"/>
      <c r="CG127" s="114"/>
      <c r="CH127" s="55"/>
      <c r="CI127" s="56"/>
      <c r="CJ127" s="123" t="s">
        <v>13</v>
      </c>
      <c r="CK127" s="58"/>
      <c r="CL127" s="59">
        <f>IFERROR(IF(FIND(CL$1,$W127)&gt;0,IF(INDEX([1]!Product_Pricing_Table[#Data],MATCH(CL$1,Products,0),2)="Cores",IF(HostBuild[Use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7" s="59">
        <f>IFERROR(IF(FIND(CM$1,$W127)&gt;0,IF(INDEX([1]!Product_Pricing_Table[#Data],MATCH(CM$1,Products,0),2)="Cores",IF(HostBuild[Use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7" s="59">
        <f>IFERROR(IF(FIND(CN$1,$W127)&gt;0,IF(INDEX([1]!Product_Pricing_Table[#Data],MATCH(CN$1,Products,0),2)="Cores",IF(HostBuild[Use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7" s="59">
        <f>IFERROR(IF(FIND(CO$1,$W127)&gt;0,IF(INDEX([1]!Product_Pricing_Table[#Data],MATCH(CO$1,Products,0),2)="Cores",IF(HostBuild[Use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7" s="59">
        <f>IFERROR(IF(FIND(CP$1,$W127)&gt;0,IF(INDEX([1]!Product_Pricing_Table[#Data],MATCH(CP$1,Products,0),2)="Cores",IF(HostBuild[Use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7" s="59">
        <f>IFERROR(IF(FIND(CQ$1,$W127)&gt;0,IF(INDEX([1]!Product_Pricing_Table[#Data],MATCH(CQ$1,Products,0),2)="Cores",IF(HostBuild[Use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7" s="59">
        <f>IFERROR(IF(FIND(CR$1,$W127)&gt;0,IF(INDEX([1]!Product_Pricing_Table[#Data],MATCH(CR$1,Products,0),2)="Cores",IF(HostBuild[Use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7" s="59">
        <f>IFERROR(IF(FIND(CS$1,$W127)&gt;0,IF(INDEX([1]!Product_Pricing_Table[#Data],MATCH(CS$1,Products,0),2)="Cores",IF(HostBuild[Use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7" s="59">
        <f>IFERROR(IF(FIND(CT$1,$W127)&gt;0,IF(INDEX([1]!Product_Pricing_Table[#Data],MATCH(CT$1,Products,0),2)="Cores",IF(HostBuild[Use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7" s="59">
        <f>IFERROR(IF(FIND(CU$1,$W127)&gt;0,IF(INDEX([1]!Product_Pricing_Table[#Data],MATCH(CU$1,Products,0),2)="Cores",IF(HostBuild[Use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7" s="59">
        <f>IFERROR(IF(FIND(CV$1,$W127)&gt;0,IF(INDEX([1]!Product_Pricing_Table[#Data],MATCH(CV$1,Products,0),2)="Cores",IF(HostBuild[Use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7" s="59">
        <f>IFERROR(IF(FIND(CW$1,$W127)&gt;0,IF(INDEX([1]!Product_Pricing_Table[#Data],MATCH(CW$1,Products,0),2)="Cores",IF(HostBuild[Use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7" s="59">
        <f>IFERROR(IF(FIND(CX$1,$W127)&gt;0,IF(INDEX([1]!Product_Pricing_Table[#Data],MATCH(CX$1,Products,0),2)="Cores",IF(HostBuild[Use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7" s="59">
        <f>IFERROR(IF(FIND(CY$1,$W127)&gt;0,IF(INDEX([1]!Product_Pricing_Table[#Data],MATCH(CY$1,Products,0),2)="Cores",IF(HostBuild[Use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7" s="59">
        <f>IFERROR(IF(FIND(CZ$1,$W127)&gt;0,IF(INDEX([1]!Product_Pricing_Table[#Data],MATCH(CZ$1,Products,0),2)="Cores",IF(HostBuild[Use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7" s="59">
        <f>IFERROR(IF(FIND(DA$1,$W127)&gt;0,IF(INDEX([1]!Product_Pricing_Table[#Data],MATCH(DA$1,Products,0),2)="Cores",IF(HostBuild[Use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7" s="59">
        <f>IFERROR(IF(FIND(DB$1,$W127)&gt;0,IF(INDEX([1]!Product_Pricing_Table[#Data],MATCH(DB$1,Products,0),2)="Cores",IF(HostBuild[Use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7" s="59">
        <f>IFERROR(IF(FIND(DC$1,$W127)&gt;0,IF(INDEX([1]!Product_Pricing_Table[#Data],MATCH(DC$1,Products,0),2)="Cores",IF(HostBuild[Use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7" s="59">
        <f>IFERROR(IF(FIND(DD$1,$W127)&gt;0,IF(INDEX([1]!Product_Pricing_Table[#Data],MATCH(DD$1,Products,0),2)="Cores",IF(HostBuild[Use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7" s="59">
        <f>IFERROR(IF(FIND(DE$1,$W127)&gt;0,IF(INDEX([1]!Product_Pricing_Table[#Data],MATCH(DE$1,Products,0),2)="Cores",IF(HostBuild[Use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7" s="60">
        <f>IFERROR(IF(FIND(DF$1,$W127)&gt;0,IF(INDEX([1]!Product_Pricing_Table[#Data],MATCH(DF$1,Products,0),2)="Cores",IF(HostBuild[Use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7" s="60">
        <f>IFERROR(IF(FIND(DG$1,$W127)&gt;0,IF(INDEX([1]!Product_Pricing_Table[#Data],MATCH(DG$1,Products,0),2)="Cores",IF(HostBuild[Use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7" s="59">
        <f>IFERROR(IF(FIND(DH$1,$W127)&gt;0,IF(INDEX([1]!Product_Pricing_Table[#Data],MATCH(DH$1,Products,0),2)="Cores",IF(HostBuild[Use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7" s="60">
        <f>IFERROR(IF(FIND(DI$1,$W127)&gt;0,IF(INDEX([1]!Product_Pricing_Table[#Data],MATCH(DI$1,Products,0),2)="Cores",IF(HostBuild[Use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7" s="59">
        <f>IFERROR(IF(FIND(DJ$1,$W127)&gt;0,IF(INDEX([1]!Product_Pricing_Table[#Data],MATCH(DJ$1,Products,0),2)="Cores",IF(HostBuild[Use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7" s="59">
        <f>IFERROR(IF(FIND(DK$1,$W127)&gt;0,IF(INDEX([1]!Product_Pricing_Table[#Data],MATCH(DK$1,Products,0),2)="Cores",IF(HostBuild[Use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7" s="59">
        <f>IFERROR(IF(FIND(DL$1,$W127)&gt;0,IF(INDEX([1]!Product_Pricing_Table[#Data],MATCH(DL$1,Products,0),2)="Cores",IF(HostBuild[Use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7" s="59">
        <f>IFERROR(IF(FIND(DM$1,$W127)&gt;0,IF(INDEX([1]!Product_Pricing_Table[#Data],MATCH(DM$1,Products,0),2)="Cores",IF(HostBuild[Use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7" s="59">
        <f>IFERROR(IF(FIND(DN$1,$W127)&gt;0,IF(INDEX([1]!Product_Pricing_Table[#Data],MATCH(DN$1,Products,0),2)="Cores",IF(HostBuild[Use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7" s="59">
        <f>IFERROR(IF(FIND(DO$1,$W127)&gt;0,IF(INDEX([1]!Product_Pricing_Table[#Data],MATCH(DO$1,Products,0),2)="Cores",IF(HostBuild[Use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7" s="59">
        <f>IFERROR(IF(FIND(DP$1,$W127)&gt;0,IF(INDEX([1]!Product_Pricing_Table[#Data],MATCH(DP$1,Products,0),2)="Cores",IF(HostBuild[Use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7" s="59">
        <f>IFERROR(IF(FIND(DQ$1,$W127)&gt;0,IF(INDEX([1]!Product_Pricing_Table[#Data],MATCH(DQ$1,Products,0),2)="Cores",IF(HostBuild[Use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7" s="59">
        <f>IFERROR(IF(FIND(DR$1,$W127)&gt;0,IF(INDEX([1]!Product_Pricing_Table[#Data],MATCH(DR$1,Products,0),2)="Cores",IF(HostBuild[Use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7" s="59">
        <f>IFERROR(IF(FIND(DS$1,$W127)&gt;0,IF(INDEX([1]!Product_Pricing_Table[#Data],MATCH(DS$1,Products,0),2)="Cores",IF(HostBuild[Use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7" s="59">
        <f>IFERROR(IF(FIND(DT$1,$W127)&gt;0,IF(INDEX([1]!Product_Pricing_Table[#Data],MATCH(DT$1,Products,0),2)="Cores",IF(HostBuild[Use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7" s="59">
        <f>IFERROR(IF(FIND(DU$1,$W127)&gt;0,IF(INDEX([1]!Product_Pricing_Table[#Data],MATCH(DU$1,Products,0),2)="Cores",IF(HostBuild[Use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7" s="59">
        <f>IFERROR(IF(FIND(DV$1,$W127)&gt;0,IF(INDEX([1]!Product_Pricing_Table[#Data],MATCH(DV$1,Products,0),2)="Cores",IF(HostBuild[Use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7" s="59">
        <f>IFERROR(IF(FIND(DW$1,$W127)&gt;0,IF(INDEX([1]!Product_Pricing_Table[#Data],MATCH(DW$1,Products,0),2)="Cores",IF(HostBuild[Use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7" s="59">
        <f>IFERROR(IF(FIND(DX$1,$W127)&gt;0,IF(INDEX([1]!Product_Pricing_Table[#Data],MATCH(DX$1,Products,0),2)="Cores",IF(HostBuild[Use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7" s="59">
        <f>IFERROR(IF(FIND(DY$1,$W127)&gt;0,IF(INDEX([1]!Product_Pricing_Table[#Data],MATCH(DY$1,Products,0),2)="Cores",IF(HostBuild[Use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7" s="59">
        <f>IFERROR(IF(FIND(DZ$1,$W127)&gt;0,IF(INDEX([1]!Product_Pricing_Table[#Data],MATCH(DZ$1,Products,0),2)="Cores",IF(HostBuild[Use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7" s="59">
        <f>IFERROR(IF(FIND(EA$1,$W127)&gt;0,IF(INDEX([1]!Product_Pricing_Table[#Data],MATCH(EA$1,Products,0),2)="Cores",IF(HostBuild[Use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7" s="59">
        <f>IFERROR(IF(FIND(EB$1,$W127)&gt;0,IF(INDEX([1]!Product_Pricing_Table[#Data],MATCH(EB$1,Products,0),2)="Cores",IF(HostBuild[Use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7" s="60">
        <f>IFERROR(IF(FIND(EC$1,$W127)&gt;0,IF(INDEX([1]!Product_Pricing_Table[#Data],MATCH(EC$1,Products,0),2)="Cores",IF(HostBuild[Use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7" s="59">
        <f>IFERROR(IF(FIND(ED$1,$W127)&gt;0,IF(INDEX([1]!Product_Pricing_Table[#Data],MATCH(ED$1,Products,0),2)="Cores",IF(HostBuild[Use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7" s="59">
        <f>IFERROR(IF(FIND(EE$1,$W127)&gt;0,IF(INDEX([1]!Product_Pricing_Table[#Data],MATCH(EE$1,Products,0),2)="Cores",IF(HostBuild[Use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7" s="59">
        <f>IFERROR(IF(FIND(EF$1,$W127)&gt;0,IF(INDEX([1]!Product_Pricing_Table[#Data],MATCH(EF$1,Products,0),2)="Cores",IF(HostBuild[Use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7" s="59">
        <f>IFERROR(IF(FIND(EG$1,$W127)&gt;0,IF(INDEX([1]!Product_Pricing_Table[#Data],MATCH(EG$1,Products,0),2)="Cores",IF(HostBuild[Use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7" s="59">
        <f>IFERROR(IF(FIND(EH$1,$W127)&gt;0,IF(INDEX([1]!Product_Pricing_Table[#Data],MATCH(EH$1,Products,0),2)="Cores",IF(HostBuild[Use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7" s="59">
        <f>IFERROR(IF(FIND(EI$1,$W127)&gt;0,IF(INDEX([1]!Product_Pricing_Table[#Data],MATCH(EI$1,Products,0),2)="Cores",IF(HostBuild[Use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7" s="59">
        <f>IFERROR(IF(FIND(EJ$1,$W127)&gt;0,IF(INDEX([1]!Product_Pricing_Table[#Data],MATCH(EJ$1,Products,0),2)="Cores",IF(HostBuild[Use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7" s="60">
        <f>IFERROR(IF(FIND(EK$1,$W127)&gt;0,IF(INDEX([1]!Product_Pricing_Table[#Data],MATCH(EK$1,Products,0),2)="Cores",IF(HostBuild[Use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7" s="61"/>
      <c r="EM127" s="62"/>
      <c r="EN127" s="63"/>
      <c r="EO127"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2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27" s="132">
        <f>(HostBuild[Archive
Full (GB)]+HostBuild[Archive
Incr (GB)])*Storage_DC_Dist_Tape_2014</f>
        <v>81.385500000000008</v>
      </c>
      <c r="ER127" s="132">
        <f>IF(ISNUMBER(HostBuild[Server HW Costs
(Monthly)]),SUM(HostBuild[[#This Row],[Server HW Costs
(Monthly)]:[Tape Costs
(Monthly)]]),0)</f>
        <v>1334.0455000000002</v>
      </c>
      <c r="ES127" s="65">
        <f>HostBuild[Software Costs
'[Year 1']
(Monthly)]+HostBuild[Total Hardware Costs
(Monthly)]</f>
        <v>1334.0455000000002</v>
      </c>
      <c r="ET127" s="65">
        <f>IFERROR(IF(FIND("Safenet",HostBuild[Server Model]),Safenet_PSE_PL600_Maint,0),0)+IFERROR(IF(FIND("XI52",HostBuild[Server Model]),IBM_DIA_XI52_Maint,0),0)+HostBuild[Software Costs
'[After Year 1']
(Monthly)]+HostBuild[Total Hardware Costs
(Monthly)]</f>
        <v>1334.0455000000002</v>
      </c>
      <c r="EU127" s="66">
        <f>SUM(HostBuild[[#This Row],[Server Cost Breakdown]:[Network Cost]])</f>
        <v>888.7</v>
      </c>
      <c r="EV127" s="67">
        <f>IF(HostBuild[Existing Server?]="Yes - Inside this BoM",0,SUMIF(HostBuild[Alias],HostBuild[Alias],HostBuild[CPU])+SUMIF(HostBuild[Alias],HostBuild[Alias],HostBuild[Existing CPUs]))</f>
        <v>2</v>
      </c>
      <c r="EW127" s="67">
        <f>IF(HostBuild[Existing Server?]="Yes - Inside this BoM",0,SUMIF(HostBuild[Alias],HostBuild[Alias],HostBuild[Cores 
(Licensed Units)])+SUMIF(HostBuild[Alias],HostBuild[Alias],HostBuild[Existing Cores]))</f>
        <v>16</v>
      </c>
      <c r="EX127" s="67">
        <f>IF(HostBuild[Existing Server?]="Yes - Inside this BoM",0,SUMIF(HostBuild[Alias],HostBuild[Alias],HostBuild[RAM 
(GB)])+SUMIF(HostBuild[Alias],HostBuild[Alias],HostBuild[Existing RAM (GB)]))</f>
        <v>128</v>
      </c>
      <c r="EY12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7" s="66">
        <f>IF(ISBLANK(HostBuild[Server Model]),0,IF(HostBuild[Server Tier]="VMware",0,VLOOKUP(HostBuild[Server Tier],[1]!ServerTierRates[#Data],2,0))*HostBuild[CPU]*IF(AND(HostBuild[Server Type]="pSeries",HostBuild[Virtual Platform Storage Type]="Cloud-SAN"),0.25,1))</f>
        <v>608</v>
      </c>
      <c r="FD127" s="66">
        <f>0</f>
        <v>0</v>
      </c>
      <c r="FE127" s="66">
        <f>IF(HostBuild[Server Type]="VMware",HostBuild[RAM 
(GB)]*IF(ISERROR(FIND("DevCloud", HostBuild[Server Model])&gt;0),vRAM_per_vCPU_2014_Monthly,vRAM_per_vCPU_2014_Daily*30),0)</f>
        <v>0</v>
      </c>
      <c r="FF12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2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7" s="69">
        <f>IF(HostBuild[Server Tier]="VMware",0,IF(LEFT(HostBuild[Existing Server?],3)="Yes",0,IF(OR(HostBuild[Server Type]="Sun",HostBuild[Server Type]="pSeries"),Support_Direct_Server_Sun_per_OS_2014,IF(HostBuild[Server Type]="x86",Support_Direct_Server_x86_Wintel_per_OS_2014,0))))</f>
        <v>187.1</v>
      </c>
      <c r="FI12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8" spans="1:165" hidden="1">
      <c r="A128" s="122" t="s">
        <v>53</v>
      </c>
      <c r="B128" s="36"/>
      <c r="C128" s="36"/>
      <c r="D128" s="36"/>
      <c r="E128" s="37"/>
      <c r="F128" s="37"/>
      <c r="G128" s="103"/>
      <c r="H128" s="103"/>
      <c r="I128" s="38"/>
      <c r="J128" s="37"/>
      <c r="K128" s="37"/>
      <c r="L128" s="37"/>
      <c r="M128" s="103" t="e">
        <f ca="1">IF(rngIsDate(HostBuild[CTO Acceptance]),"Y","N")</f>
        <v>#NAME?</v>
      </c>
      <c r="N128" s="123" t="s">
        <v>4</v>
      </c>
      <c r="O128" s="39"/>
      <c r="P128" s="39"/>
      <c r="Q128" s="123" t="s">
        <v>192</v>
      </c>
      <c r="R128" s="126" t="str">
        <f>IF(NOT(ISBLANK(HostBuild[Env Label])),IFERROR(VLOOKUP(HostBuild[Env Label],[1]!tEnv[#Data],3,FALSE),""),"")</f>
        <v/>
      </c>
      <c r="S128" s="104"/>
      <c r="T128" s="40"/>
      <c r="U128" s="105"/>
      <c r="V128" s="123" t="s">
        <v>46</v>
      </c>
      <c r="W128" s="123" t="s">
        <v>190</v>
      </c>
      <c r="X128" s="123" t="s">
        <v>57</v>
      </c>
      <c r="Y128" s="123" t="s">
        <v>188</v>
      </c>
      <c r="Z128" s="126" t="str">
        <f>IF(NOT(ISBLANK(HostBuild[[#This Row],[Product 
(Acronym)]])),CONCATENATE(HostBuild[[#This Row],[Type]],"-",HostBuild[[#This Row],[Product 
(Acronym)]]),"")</f>
        <v>AP-CBOL</v>
      </c>
      <c r="AA128" s="106"/>
      <c r="AB128" s="106" t="s">
        <v>76</v>
      </c>
      <c r="AC128" s="41"/>
      <c r="AD128" s="42"/>
      <c r="AE128" s="42"/>
      <c r="AF128" s="43"/>
      <c r="AG128" s="124"/>
      <c r="AH128" s="107"/>
      <c r="AI128" s="124" t="s">
        <v>197</v>
      </c>
      <c r="AJ128" s="123">
        <f>IF(COUNTIF(HostBuild[Alias],HostBuild[Alias]),1/COUNTIF(HostBuild[Alias],HostBuild[Alias]),0)</f>
        <v>1</v>
      </c>
      <c r="AK128" s="124"/>
      <c r="AL128" s="124"/>
      <c r="AM128" s="44" t="s">
        <v>62</v>
      </c>
      <c r="AN128" s="45" t="str">
        <f>IF(NOT(ISBLANK(HostBuild[Server Model])),VLOOKUP(HostBuild[Server Model],[1]!ServerModelsTier[#Data],2,FALSE),"")</f>
        <v>x86 Tier 3</v>
      </c>
      <c r="AO128" s="45" t="str">
        <f>IF(NOT(ISBLANK(HostBuild[Server Model])),VLOOKUP(HostBuild[Server Model],[1]!ServerModelsTier[#Data],5,FALSE),"")</f>
        <v>x86</v>
      </c>
      <c r="AP128" s="44"/>
      <c r="AQ128" s="44" t="s">
        <v>63</v>
      </c>
      <c r="AR128" s="46">
        <v>2</v>
      </c>
      <c r="AS128" s="108"/>
      <c r="AT128" s="47">
        <v>16</v>
      </c>
      <c r="AU128" s="109" t="str">
        <f>IF(IFERROR(FIND("P-Series",HostBuild[Server Tier]),0),CEILING((HostBuild[Existing CPUs]+HostBuild[CPU])*16,8),"")</f>
        <v/>
      </c>
      <c r="AV128" s="48">
        <v>128</v>
      </c>
      <c r="AW128" s="124"/>
      <c r="AX128" s="124"/>
      <c r="AY128" s="124"/>
      <c r="AZ128" s="49"/>
      <c r="BA128" s="124"/>
      <c r="BB128" s="124"/>
      <c r="BC128" s="42"/>
      <c r="BD128" s="124"/>
      <c r="BE128" s="124"/>
      <c r="BF128" s="124"/>
      <c r="BG128" s="124"/>
      <c r="BH128" s="124"/>
      <c r="BI128" s="124"/>
      <c r="BJ128" s="124"/>
      <c r="BK128"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28" s="127">
        <v>600</v>
      </c>
      <c r="BM128" s="129">
        <f>IF(ISNUMBER(HostBuild[Recommended SAN (GB)]),HostBuild[Recommended SAN (GB)])+IF(HostBuild[Additional SAN (GB)]&gt;0,CEILING(HostBuild[Additional SAN (GB)],LUN),-(CEILING(-HostBuild[Additional SAN (GB)],LUN)))</f>
        <v>808.80000000000007</v>
      </c>
      <c r="BN128" s="128"/>
      <c r="BO128" s="129">
        <f>HostBuild[SAN (GB)
NEEDED TODAY]+CEILING(HostBuild[SAN (GB)
RESERVED
DO NOT USE TO BUILD], LUN)</f>
        <v>808.80000000000007</v>
      </c>
      <c r="BP128" s="130"/>
      <c r="BQ128" s="131"/>
      <c r="BR128" s="125" t="s">
        <v>76</v>
      </c>
      <c r="BS128" s="110">
        <f>IF(HostBuild[Existing Server?]&lt;&gt;"Yes - Inside this BoM",IF(ISNUMBER(HostBuild[RAM 
(GB)]),IF(HostBuild[Existing RAM (GB)]+HostBuild[RAM 
(GB)]&gt;0,IF(HostBuild[Virtual Platform Storage Type]="NAS",110+HostBuild[Existing RAM (GB)]+HostBuild[RAM 
(GB)]*1.75,0),0),0),0)</f>
        <v>0</v>
      </c>
      <c r="BT128" s="111"/>
      <c r="BU128" s="112">
        <f>IF(ISNUMBER(HostBuild[Recommended NAS (GB)]),HostBuild[Recommended NAS (GB)])+HostBuild[Additional NAS (GB)]</f>
        <v>0</v>
      </c>
      <c r="BV128" s="50"/>
      <c r="BW128" s="50"/>
      <c r="BX128" s="133">
        <f>IFERROR((HostBuild[SAN (GB)
End-State
DO NOT USE TO BUILD]+HostBuild[SAN (GB) Shared])*25%,"")</f>
        <v>202.20000000000002</v>
      </c>
      <c r="BY128" s="113">
        <f>IFERROR(HostBuild[Archive
Full (GB)]*15%,"")</f>
        <v>30.330000000000002</v>
      </c>
      <c r="BZ128" s="51"/>
      <c r="CA128" s="51"/>
      <c r="CB128" s="52"/>
      <c r="CC128" s="53"/>
      <c r="CD128" s="52"/>
      <c r="CE128" s="54"/>
      <c r="CF128" s="128"/>
      <c r="CG128" s="114"/>
      <c r="CH128" s="55"/>
      <c r="CI128" s="56"/>
      <c r="CJ128" s="123" t="s">
        <v>13</v>
      </c>
      <c r="CK128" s="58"/>
      <c r="CL128" s="59">
        <f>IFERROR(IF(FIND(CL$1,$W128)&gt;0,IF(INDEX([1]!Product_Pricing_Table[#Data],MATCH(CL$1,Products,0),2)="Cores",IF(HostBuild[Use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8" s="59">
        <f>IFERROR(IF(FIND(CM$1,$W128)&gt;0,IF(INDEX([1]!Product_Pricing_Table[#Data],MATCH(CM$1,Products,0),2)="Cores",IF(HostBuild[Use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8" s="59">
        <f>IFERROR(IF(FIND(CN$1,$W128)&gt;0,IF(INDEX([1]!Product_Pricing_Table[#Data],MATCH(CN$1,Products,0),2)="Cores",IF(HostBuild[Use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8" s="59">
        <f>IFERROR(IF(FIND(CO$1,$W128)&gt;0,IF(INDEX([1]!Product_Pricing_Table[#Data],MATCH(CO$1,Products,0),2)="Cores",IF(HostBuild[Use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8" s="59">
        <f>IFERROR(IF(FIND(CP$1,$W128)&gt;0,IF(INDEX([1]!Product_Pricing_Table[#Data],MATCH(CP$1,Products,0),2)="Cores",IF(HostBuild[Use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8" s="59">
        <f>IFERROR(IF(FIND(CQ$1,$W128)&gt;0,IF(INDEX([1]!Product_Pricing_Table[#Data],MATCH(CQ$1,Products,0),2)="Cores",IF(HostBuild[Use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8" s="59">
        <f>IFERROR(IF(FIND(CR$1,$W128)&gt;0,IF(INDEX([1]!Product_Pricing_Table[#Data],MATCH(CR$1,Products,0),2)="Cores",IF(HostBuild[Use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8" s="59">
        <f>IFERROR(IF(FIND(CS$1,$W128)&gt;0,IF(INDEX([1]!Product_Pricing_Table[#Data],MATCH(CS$1,Products,0),2)="Cores",IF(HostBuild[Use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8" s="59">
        <f>IFERROR(IF(FIND(CT$1,$W128)&gt;0,IF(INDEX([1]!Product_Pricing_Table[#Data],MATCH(CT$1,Products,0),2)="Cores",IF(HostBuild[Use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8" s="59">
        <f>IFERROR(IF(FIND(CU$1,$W128)&gt;0,IF(INDEX([1]!Product_Pricing_Table[#Data],MATCH(CU$1,Products,0),2)="Cores",IF(HostBuild[Use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8" s="59">
        <f>IFERROR(IF(FIND(CV$1,$W128)&gt;0,IF(INDEX([1]!Product_Pricing_Table[#Data],MATCH(CV$1,Products,0),2)="Cores",IF(HostBuild[Use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8" s="59">
        <f>IFERROR(IF(FIND(CW$1,$W128)&gt;0,IF(INDEX([1]!Product_Pricing_Table[#Data],MATCH(CW$1,Products,0),2)="Cores",IF(HostBuild[Use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8" s="59">
        <f>IFERROR(IF(FIND(CX$1,$W128)&gt;0,IF(INDEX([1]!Product_Pricing_Table[#Data],MATCH(CX$1,Products,0),2)="Cores",IF(HostBuild[Use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8" s="59">
        <f>IFERROR(IF(FIND(CY$1,$W128)&gt;0,IF(INDEX([1]!Product_Pricing_Table[#Data],MATCH(CY$1,Products,0),2)="Cores",IF(HostBuild[Use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8" s="59">
        <f>IFERROR(IF(FIND(CZ$1,$W128)&gt;0,IF(INDEX([1]!Product_Pricing_Table[#Data],MATCH(CZ$1,Products,0),2)="Cores",IF(HostBuild[Use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8" s="59">
        <f>IFERROR(IF(FIND(DA$1,$W128)&gt;0,IF(INDEX([1]!Product_Pricing_Table[#Data],MATCH(DA$1,Products,0),2)="Cores",IF(HostBuild[Use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8" s="59">
        <f>IFERROR(IF(FIND(DB$1,$W128)&gt;0,IF(INDEX([1]!Product_Pricing_Table[#Data],MATCH(DB$1,Products,0),2)="Cores",IF(HostBuild[Use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8" s="59">
        <f>IFERROR(IF(FIND(DC$1,$W128)&gt;0,IF(INDEX([1]!Product_Pricing_Table[#Data],MATCH(DC$1,Products,0),2)="Cores",IF(HostBuild[Use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8" s="59">
        <f>IFERROR(IF(FIND(DD$1,$W128)&gt;0,IF(INDEX([1]!Product_Pricing_Table[#Data],MATCH(DD$1,Products,0),2)="Cores",IF(HostBuild[Use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8" s="59">
        <f>IFERROR(IF(FIND(DE$1,$W128)&gt;0,IF(INDEX([1]!Product_Pricing_Table[#Data],MATCH(DE$1,Products,0),2)="Cores",IF(HostBuild[Use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8" s="60">
        <f>IFERROR(IF(FIND(DF$1,$W128)&gt;0,IF(INDEX([1]!Product_Pricing_Table[#Data],MATCH(DF$1,Products,0),2)="Cores",IF(HostBuild[Use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8" s="60">
        <f>IFERROR(IF(FIND(DG$1,$W128)&gt;0,IF(INDEX([1]!Product_Pricing_Table[#Data],MATCH(DG$1,Products,0),2)="Cores",IF(HostBuild[Use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8" s="59">
        <f>IFERROR(IF(FIND(DH$1,$W128)&gt;0,IF(INDEX([1]!Product_Pricing_Table[#Data],MATCH(DH$1,Products,0),2)="Cores",IF(HostBuild[Use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8" s="60">
        <f>IFERROR(IF(FIND(DI$1,$W128)&gt;0,IF(INDEX([1]!Product_Pricing_Table[#Data],MATCH(DI$1,Products,0),2)="Cores",IF(HostBuild[Use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8" s="59">
        <f>IFERROR(IF(FIND(DJ$1,$W128)&gt;0,IF(INDEX([1]!Product_Pricing_Table[#Data],MATCH(DJ$1,Products,0),2)="Cores",IF(HostBuild[Use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8" s="59">
        <f>IFERROR(IF(FIND(DK$1,$W128)&gt;0,IF(INDEX([1]!Product_Pricing_Table[#Data],MATCH(DK$1,Products,0),2)="Cores",IF(HostBuild[Use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8" s="59">
        <f>IFERROR(IF(FIND(DL$1,$W128)&gt;0,IF(INDEX([1]!Product_Pricing_Table[#Data],MATCH(DL$1,Products,0),2)="Cores",IF(HostBuild[Use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8" s="59">
        <f>IFERROR(IF(FIND(DM$1,$W128)&gt;0,IF(INDEX([1]!Product_Pricing_Table[#Data],MATCH(DM$1,Products,0),2)="Cores",IF(HostBuild[Use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8" s="59">
        <f>IFERROR(IF(FIND(DN$1,$W128)&gt;0,IF(INDEX([1]!Product_Pricing_Table[#Data],MATCH(DN$1,Products,0),2)="Cores",IF(HostBuild[Use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8" s="59">
        <f>IFERROR(IF(FIND(DO$1,$W128)&gt;0,IF(INDEX([1]!Product_Pricing_Table[#Data],MATCH(DO$1,Products,0),2)="Cores",IF(HostBuild[Use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8" s="59">
        <f>IFERROR(IF(FIND(DP$1,$W128)&gt;0,IF(INDEX([1]!Product_Pricing_Table[#Data],MATCH(DP$1,Products,0),2)="Cores",IF(HostBuild[Use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8" s="59">
        <f>IFERROR(IF(FIND(DQ$1,$W128)&gt;0,IF(INDEX([1]!Product_Pricing_Table[#Data],MATCH(DQ$1,Products,0),2)="Cores",IF(HostBuild[Use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8" s="59">
        <f>IFERROR(IF(FIND(DR$1,$W128)&gt;0,IF(INDEX([1]!Product_Pricing_Table[#Data],MATCH(DR$1,Products,0),2)="Cores",IF(HostBuild[Use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8" s="59">
        <f>IFERROR(IF(FIND(DS$1,$W128)&gt;0,IF(INDEX([1]!Product_Pricing_Table[#Data],MATCH(DS$1,Products,0),2)="Cores",IF(HostBuild[Use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8" s="59">
        <f>IFERROR(IF(FIND(DT$1,$W128)&gt;0,IF(INDEX([1]!Product_Pricing_Table[#Data],MATCH(DT$1,Products,0),2)="Cores",IF(HostBuild[Use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8" s="59">
        <f>IFERROR(IF(FIND(DU$1,$W128)&gt;0,IF(INDEX([1]!Product_Pricing_Table[#Data],MATCH(DU$1,Products,0),2)="Cores",IF(HostBuild[Use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8" s="59">
        <f>IFERROR(IF(FIND(DV$1,$W128)&gt;0,IF(INDEX([1]!Product_Pricing_Table[#Data],MATCH(DV$1,Products,0),2)="Cores",IF(HostBuild[Use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8" s="59">
        <f>IFERROR(IF(FIND(DW$1,$W128)&gt;0,IF(INDEX([1]!Product_Pricing_Table[#Data],MATCH(DW$1,Products,0),2)="Cores",IF(HostBuild[Use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8" s="59">
        <f>IFERROR(IF(FIND(DX$1,$W128)&gt;0,IF(INDEX([1]!Product_Pricing_Table[#Data],MATCH(DX$1,Products,0),2)="Cores",IF(HostBuild[Use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8" s="59">
        <f>IFERROR(IF(FIND(DY$1,$W128)&gt;0,IF(INDEX([1]!Product_Pricing_Table[#Data],MATCH(DY$1,Products,0),2)="Cores",IF(HostBuild[Use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8" s="59">
        <f>IFERROR(IF(FIND(DZ$1,$W128)&gt;0,IF(INDEX([1]!Product_Pricing_Table[#Data],MATCH(DZ$1,Products,0),2)="Cores",IF(HostBuild[Use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8" s="59">
        <f>IFERROR(IF(FIND(EA$1,$W128)&gt;0,IF(INDEX([1]!Product_Pricing_Table[#Data],MATCH(EA$1,Products,0),2)="Cores",IF(HostBuild[Use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8" s="59">
        <f>IFERROR(IF(FIND(EB$1,$W128)&gt;0,IF(INDEX([1]!Product_Pricing_Table[#Data],MATCH(EB$1,Products,0),2)="Cores",IF(HostBuild[Use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8" s="60">
        <f>IFERROR(IF(FIND(EC$1,$W128)&gt;0,IF(INDEX([1]!Product_Pricing_Table[#Data],MATCH(EC$1,Products,0),2)="Cores",IF(HostBuild[Use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8" s="59">
        <f>IFERROR(IF(FIND(ED$1,$W128)&gt;0,IF(INDEX([1]!Product_Pricing_Table[#Data],MATCH(ED$1,Products,0),2)="Cores",IF(HostBuild[Use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8" s="59">
        <f>IFERROR(IF(FIND(EE$1,$W128)&gt;0,IF(INDEX([1]!Product_Pricing_Table[#Data],MATCH(EE$1,Products,0),2)="Cores",IF(HostBuild[Use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8" s="59">
        <f>IFERROR(IF(FIND(EF$1,$W128)&gt;0,IF(INDEX([1]!Product_Pricing_Table[#Data],MATCH(EF$1,Products,0),2)="Cores",IF(HostBuild[Use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8" s="59">
        <f>IFERROR(IF(FIND(EG$1,$W128)&gt;0,IF(INDEX([1]!Product_Pricing_Table[#Data],MATCH(EG$1,Products,0),2)="Cores",IF(HostBuild[Use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8" s="59">
        <f>IFERROR(IF(FIND(EH$1,$W128)&gt;0,IF(INDEX([1]!Product_Pricing_Table[#Data],MATCH(EH$1,Products,0),2)="Cores",IF(HostBuild[Use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8" s="59">
        <f>IFERROR(IF(FIND(EI$1,$W128)&gt;0,IF(INDEX([1]!Product_Pricing_Table[#Data],MATCH(EI$1,Products,0),2)="Cores",IF(HostBuild[Use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8" s="59">
        <f>IFERROR(IF(FIND(EJ$1,$W128)&gt;0,IF(INDEX([1]!Product_Pricing_Table[#Data],MATCH(EJ$1,Products,0),2)="Cores",IF(HostBuild[Use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8" s="60">
        <f>IFERROR(IF(FIND(EK$1,$W128)&gt;0,IF(INDEX([1]!Product_Pricing_Table[#Data],MATCH(EK$1,Products,0),2)="Cores",IF(HostBuild[Use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8" s="61"/>
      <c r="EM128" s="62">
        <v>4102</v>
      </c>
      <c r="EN128" s="63">
        <v>1638</v>
      </c>
      <c r="EO128"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2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28" s="132">
        <f>(HostBuild[Archive
Full (GB)]+HostBuild[Archive
Incr (GB)])*Storage_DC_Dist_Tape_2014</f>
        <v>81.385500000000008</v>
      </c>
      <c r="ER128" s="132">
        <f>IF(ISNUMBER(HostBuild[Server HW Costs
(Monthly)]),SUM(HostBuild[[#This Row],[Server HW Costs
(Monthly)]:[Tape Costs
(Monthly)]]),0)</f>
        <v>1334.0455000000002</v>
      </c>
      <c r="ES128" s="65">
        <f>HostBuild[Software Costs
'[Year 1']
(Monthly)]+HostBuild[Total Hardware Costs
(Monthly)]</f>
        <v>5436.0455000000002</v>
      </c>
      <c r="ET128" s="65">
        <f>IFERROR(IF(FIND("Safenet",HostBuild[Server Model]),Safenet_PSE_PL600_Maint,0),0)+IFERROR(IF(FIND("XI52",HostBuild[Server Model]),IBM_DIA_XI52_Maint,0),0)+HostBuild[Software Costs
'[After Year 1']
(Monthly)]+HostBuild[Total Hardware Costs
(Monthly)]</f>
        <v>2972.0455000000002</v>
      </c>
      <c r="EU128" s="66">
        <f>SUM(HostBuild[[#This Row],[Server Cost Breakdown]:[Network Cost]])</f>
        <v>888.7</v>
      </c>
      <c r="EV128" s="67">
        <f>IF(HostBuild[Existing Server?]="Yes - Inside this BoM",0,SUMIF(HostBuild[Alias],HostBuild[Alias],HostBuild[CPU])+SUMIF(HostBuild[Alias],HostBuild[Alias],HostBuild[Existing CPUs]))</f>
        <v>2</v>
      </c>
      <c r="EW128" s="67">
        <f>IF(HostBuild[Existing Server?]="Yes - Inside this BoM",0,SUMIF(HostBuild[Alias],HostBuild[Alias],HostBuild[Cores 
(Licensed Units)])+SUMIF(HostBuild[Alias],HostBuild[Alias],HostBuild[Existing Cores]))</f>
        <v>16</v>
      </c>
      <c r="EX128" s="67">
        <f>IF(HostBuild[Existing Server?]="Yes - Inside this BoM",0,SUMIF(HostBuild[Alias],HostBuild[Alias],HostBuild[RAM 
(GB)])+SUMIF(HostBuild[Alias],HostBuild[Alias],HostBuild[Existing RAM (GB)]))</f>
        <v>128</v>
      </c>
      <c r="EY12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8" s="66">
        <f>IF(ISBLANK(HostBuild[Server Model]),0,IF(HostBuild[Server Tier]="VMware",0,VLOOKUP(HostBuild[Server Tier],[1]!ServerTierRates[#Data],2,0))*HostBuild[CPU]*IF(AND(HostBuild[Server Type]="pSeries",HostBuild[Virtual Platform Storage Type]="Cloud-SAN"),0.25,1))</f>
        <v>608</v>
      </c>
      <c r="FD128" s="66">
        <f>0</f>
        <v>0</v>
      </c>
      <c r="FE128" s="66">
        <f>IF(HostBuild[Server Type]="VMware",HostBuild[RAM 
(GB)]*IF(ISERROR(FIND("DevCloud", HostBuild[Server Model])&gt;0),vRAM_per_vCPU_2014_Monthly,vRAM_per_vCPU_2014_Daily*30),0)</f>
        <v>0</v>
      </c>
      <c r="FF12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2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8" s="69">
        <f>IF(HostBuild[Server Tier]="VMware",0,IF(LEFT(HostBuild[Existing Server?],3)="Yes",0,IF(OR(HostBuild[Server Type]="Sun",HostBuild[Server Type]="pSeries"),Support_Direct_Server_Sun_per_OS_2014,IF(HostBuild[Server Type]="x86",Support_Direct_Server_x86_Wintel_per_OS_2014,0))))</f>
        <v>187.1</v>
      </c>
      <c r="FI12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29" spans="1:165" hidden="1">
      <c r="A129" s="122" t="s">
        <v>53</v>
      </c>
      <c r="B129" s="36"/>
      <c r="C129" s="36"/>
      <c r="D129" s="36"/>
      <c r="E129" s="37"/>
      <c r="F129" s="37"/>
      <c r="G129" s="103"/>
      <c r="H129" s="103"/>
      <c r="I129" s="38"/>
      <c r="J129" s="37"/>
      <c r="K129" s="37"/>
      <c r="L129" s="37"/>
      <c r="M129" s="103" t="e">
        <f ca="1">IF(rngIsDate(HostBuild[CTO Acceptance]),"Y","N")</f>
        <v>#NAME?</v>
      </c>
      <c r="N129" s="123" t="s">
        <v>3</v>
      </c>
      <c r="O129" s="39"/>
      <c r="P129" s="39"/>
      <c r="Q129" s="123" t="s">
        <v>1</v>
      </c>
      <c r="R129" s="126" t="str">
        <f>IF(NOT(ISBLANK(HostBuild[Env Label])),IFERROR(VLOOKUP(HostBuild[Env Label],[1]!tEnv[#Data],3,FALSE),""),"")</f>
        <v/>
      </c>
      <c r="S129" s="104"/>
      <c r="T129" s="40"/>
      <c r="U129" s="105"/>
      <c r="V129" s="123" t="s">
        <v>46</v>
      </c>
      <c r="W129" s="123" t="s">
        <v>190</v>
      </c>
      <c r="X129" s="123" t="s">
        <v>57</v>
      </c>
      <c r="Y129" s="123" t="s">
        <v>188</v>
      </c>
      <c r="Z129" s="126" t="str">
        <f>IF(NOT(ISBLANK(HostBuild[[#This Row],[Product 
(Acronym)]])),CONCATENATE(HostBuild[[#This Row],[Type]],"-",HostBuild[[#This Row],[Product 
(Acronym)]]),"")</f>
        <v>AP-CBOL</v>
      </c>
      <c r="AA129" s="106"/>
      <c r="AB129" s="106" t="s">
        <v>76</v>
      </c>
      <c r="AC129" s="41"/>
      <c r="AD129" s="42"/>
      <c r="AE129" s="42"/>
      <c r="AF129" s="43"/>
      <c r="AG129" s="124"/>
      <c r="AH129" s="107"/>
      <c r="AI129" s="124" t="s">
        <v>198</v>
      </c>
      <c r="AJ129" s="123">
        <f>IF(COUNTIF(HostBuild[Alias],HostBuild[Alias]),1/COUNTIF(HostBuild[Alias],HostBuild[Alias]),0)</f>
        <v>1</v>
      </c>
      <c r="AK129" s="124"/>
      <c r="AL129" s="124"/>
      <c r="AM129" s="44" t="s">
        <v>62</v>
      </c>
      <c r="AN129" s="45" t="str">
        <f>IF(NOT(ISBLANK(HostBuild[Server Model])),VLOOKUP(HostBuild[Server Model],[1]!ServerModelsTier[#Data],2,FALSE),"")</f>
        <v>x86 Tier 3</v>
      </c>
      <c r="AO129" s="45" t="str">
        <f>IF(NOT(ISBLANK(HostBuild[Server Model])),VLOOKUP(HostBuild[Server Model],[1]!ServerModelsTier[#Data],5,FALSE),"")</f>
        <v>x86</v>
      </c>
      <c r="AP129" s="44"/>
      <c r="AQ129" s="44" t="s">
        <v>63</v>
      </c>
      <c r="AR129" s="46">
        <v>2</v>
      </c>
      <c r="AS129" s="108"/>
      <c r="AT129" s="47">
        <v>16</v>
      </c>
      <c r="AU129" s="109" t="str">
        <f>IF(IFERROR(FIND("P-Series",HostBuild[Server Tier]),0),CEILING((HostBuild[Existing CPUs]+HostBuild[CPU])*16,8),"")</f>
        <v/>
      </c>
      <c r="AV129" s="48">
        <v>128</v>
      </c>
      <c r="AW129" s="124"/>
      <c r="AX129" s="124"/>
      <c r="AY129" s="124"/>
      <c r="AZ129" s="49"/>
      <c r="BA129" s="124"/>
      <c r="BB129" s="124"/>
      <c r="BC129" s="42"/>
      <c r="BD129" s="124"/>
      <c r="BE129" s="124"/>
      <c r="BF129" s="124"/>
      <c r="BG129" s="124"/>
      <c r="BH129" s="124"/>
      <c r="BI129" s="124"/>
      <c r="BJ129" s="124"/>
      <c r="BK129"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29" s="127">
        <v>600</v>
      </c>
      <c r="BM129" s="129">
        <f>IF(ISNUMBER(HostBuild[Recommended SAN (GB)]),HostBuild[Recommended SAN (GB)])+IF(HostBuild[Additional SAN (GB)]&gt;0,CEILING(HostBuild[Additional SAN (GB)],LUN),-(CEILING(-HostBuild[Additional SAN (GB)],LUN)))</f>
        <v>808.80000000000007</v>
      </c>
      <c r="BN129" s="128"/>
      <c r="BO129" s="129">
        <f>HostBuild[SAN (GB)
NEEDED TODAY]+CEILING(HostBuild[SAN (GB)
RESERVED
DO NOT USE TO BUILD], LUN)</f>
        <v>808.80000000000007</v>
      </c>
      <c r="BP129" s="130"/>
      <c r="BQ129" s="131"/>
      <c r="BR129" s="125" t="s">
        <v>76</v>
      </c>
      <c r="BS129" s="110">
        <f>IF(HostBuild[Existing Server?]&lt;&gt;"Yes - Inside this BoM",IF(ISNUMBER(HostBuild[RAM 
(GB)]),IF(HostBuild[Existing RAM (GB)]+HostBuild[RAM 
(GB)]&gt;0,IF(HostBuild[Virtual Platform Storage Type]="NAS",110+HostBuild[Existing RAM (GB)]+HostBuild[RAM 
(GB)]*1.75,0),0),0),0)</f>
        <v>0</v>
      </c>
      <c r="BT129" s="111"/>
      <c r="BU129" s="112">
        <f>IF(ISNUMBER(HostBuild[Recommended NAS (GB)]),HostBuild[Recommended NAS (GB)])+HostBuild[Additional NAS (GB)]</f>
        <v>0</v>
      </c>
      <c r="BV129" s="50"/>
      <c r="BW129" s="50"/>
      <c r="BX129" s="133">
        <f>IFERROR((HostBuild[SAN (GB)
End-State
DO NOT USE TO BUILD]+HostBuild[SAN (GB) Shared])*25%,"")</f>
        <v>202.20000000000002</v>
      </c>
      <c r="BY129" s="113">
        <f>IFERROR(HostBuild[Archive
Full (GB)]*15%,"")</f>
        <v>30.330000000000002</v>
      </c>
      <c r="BZ129" s="51"/>
      <c r="CA129" s="51"/>
      <c r="CB129" s="52"/>
      <c r="CC129" s="53"/>
      <c r="CD129" s="52"/>
      <c r="CE129" s="54"/>
      <c r="CF129" s="128"/>
      <c r="CG129" s="114"/>
      <c r="CH129" s="55"/>
      <c r="CI129" s="56"/>
      <c r="CJ129" s="123" t="s">
        <v>13</v>
      </c>
      <c r="CK129" s="58"/>
      <c r="CL129" s="59">
        <f>IFERROR(IF(FIND(CL$1,$W129)&gt;0,IF(INDEX([1]!Product_Pricing_Table[#Data],MATCH(CL$1,Products,0),2)="Cores",IF(HostBuild[Use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29" s="59">
        <f>IFERROR(IF(FIND(CM$1,$W129)&gt;0,IF(INDEX([1]!Product_Pricing_Table[#Data],MATCH(CM$1,Products,0),2)="Cores",IF(HostBuild[Use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29" s="59">
        <f>IFERROR(IF(FIND(CN$1,$W129)&gt;0,IF(INDEX([1]!Product_Pricing_Table[#Data],MATCH(CN$1,Products,0),2)="Cores",IF(HostBuild[Use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29" s="59">
        <f>IFERROR(IF(FIND(CO$1,$W129)&gt;0,IF(INDEX([1]!Product_Pricing_Table[#Data],MATCH(CO$1,Products,0),2)="Cores",IF(HostBuild[Use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29" s="59">
        <f>IFERROR(IF(FIND(CP$1,$W129)&gt;0,IF(INDEX([1]!Product_Pricing_Table[#Data],MATCH(CP$1,Products,0),2)="Cores",IF(HostBuild[Use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29" s="59">
        <f>IFERROR(IF(FIND(CQ$1,$W129)&gt;0,IF(INDEX([1]!Product_Pricing_Table[#Data],MATCH(CQ$1,Products,0),2)="Cores",IF(HostBuild[Use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29" s="59">
        <f>IFERROR(IF(FIND(CR$1,$W129)&gt;0,IF(INDEX([1]!Product_Pricing_Table[#Data],MATCH(CR$1,Products,0),2)="Cores",IF(HostBuild[Use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29" s="59">
        <f>IFERROR(IF(FIND(CS$1,$W129)&gt;0,IF(INDEX([1]!Product_Pricing_Table[#Data],MATCH(CS$1,Products,0),2)="Cores",IF(HostBuild[Use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29" s="59">
        <f>IFERROR(IF(FIND(CT$1,$W129)&gt;0,IF(INDEX([1]!Product_Pricing_Table[#Data],MATCH(CT$1,Products,0),2)="Cores",IF(HostBuild[Use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29" s="59">
        <f>IFERROR(IF(FIND(CU$1,$W129)&gt;0,IF(INDEX([1]!Product_Pricing_Table[#Data],MATCH(CU$1,Products,0),2)="Cores",IF(HostBuild[Use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29" s="59">
        <f>IFERROR(IF(FIND(CV$1,$W129)&gt;0,IF(INDEX([1]!Product_Pricing_Table[#Data],MATCH(CV$1,Products,0),2)="Cores",IF(HostBuild[Use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29" s="59">
        <f>IFERROR(IF(FIND(CW$1,$W129)&gt;0,IF(INDEX([1]!Product_Pricing_Table[#Data],MATCH(CW$1,Products,0),2)="Cores",IF(HostBuild[Use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29" s="59">
        <f>IFERROR(IF(FIND(CX$1,$W129)&gt;0,IF(INDEX([1]!Product_Pricing_Table[#Data],MATCH(CX$1,Products,0),2)="Cores",IF(HostBuild[Use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29" s="59">
        <f>IFERROR(IF(FIND(CY$1,$W129)&gt;0,IF(INDEX([1]!Product_Pricing_Table[#Data],MATCH(CY$1,Products,0),2)="Cores",IF(HostBuild[Use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29" s="59">
        <f>IFERROR(IF(FIND(CZ$1,$W129)&gt;0,IF(INDEX([1]!Product_Pricing_Table[#Data],MATCH(CZ$1,Products,0),2)="Cores",IF(HostBuild[Use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29" s="59">
        <f>IFERROR(IF(FIND(DA$1,$W129)&gt;0,IF(INDEX([1]!Product_Pricing_Table[#Data],MATCH(DA$1,Products,0),2)="Cores",IF(HostBuild[Use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29" s="59">
        <f>IFERROR(IF(FIND(DB$1,$W129)&gt;0,IF(INDEX([1]!Product_Pricing_Table[#Data],MATCH(DB$1,Products,0),2)="Cores",IF(HostBuild[Use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29" s="59">
        <f>IFERROR(IF(FIND(DC$1,$W129)&gt;0,IF(INDEX([1]!Product_Pricing_Table[#Data],MATCH(DC$1,Products,0),2)="Cores",IF(HostBuild[Use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29" s="59">
        <f>IFERROR(IF(FIND(DD$1,$W129)&gt;0,IF(INDEX([1]!Product_Pricing_Table[#Data],MATCH(DD$1,Products,0),2)="Cores",IF(HostBuild[Use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29" s="59">
        <f>IFERROR(IF(FIND(DE$1,$W129)&gt;0,IF(INDEX([1]!Product_Pricing_Table[#Data],MATCH(DE$1,Products,0),2)="Cores",IF(HostBuild[Use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29" s="60">
        <f>IFERROR(IF(FIND(DF$1,$W129)&gt;0,IF(INDEX([1]!Product_Pricing_Table[#Data],MATCH(DF$1,Products,0),2)="Cores",IF(HostBuild[Use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29" s="60">
        <f>IFERROR(IF(FIND(DG$1,$W129)&gt;0,IF(INDEX([1]!Product_Pricing_Table[#Data],MATCH(DG$1,Products,0),2)="Cores",IF(HostBuild[Use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29" s="59">
        <f>IFERROR(IF(FIND(DH$1,$W129)&gt;0,IF(INDEX([1]!Product_Pricing_Table[#Data],MATCH(DH$1,Products,0),2)="Cores",IF(HostBuild[Use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29" s="60">
        <f>IFERROR(IF(FIND(DI$1,$W129)&gt;0,IF(INDEX([1]!Product_Pricing_Table[#Data],MATCH(DI$1,Products,0),2)="Cores",IF(HostBuild[Use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29" s="59">
        <f>IFERROR(IF(FIND(DJ$1,$W129)&gt;0,IF(INDEX([1]!Product_Pricing_Table[#Data],MATCH(DJ$1,Products,0),2)="Cores",IF(HostBuild[Use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29" s="59">
        <f>IFERROR(IF(FIND(DK$1,$W129)&gt;0,IF(INDEX([1]!Product_Pricing_Table[#Data],MATCH(DK$1,Products,0),2)="Cores",IF(HostBuild[Use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29" s="59">
        <f>IFERROR(IF(FIND(DL$1,$W129)&gt;0,IF(INDEX([1]!Product_Pricing_Table[#Data],MATCH(DL$1,Products,0),2)="Cores",IF(HostBuild[Use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29" s="59">
        <f>IFERROR(IF(FIND(DM$1,$W129)&gt;0,IF(INDEX([1]!Product_Pricing_Table[#Data],MATCH(DM$1,Products,0),2)="Cores",IF(HostBuild[Use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29" s="59">
        <f>IFERROR(IF(FIND(DN$1,$W129)&gt;0,IF(INDEX([1]!Product_Pricing_Table[#Data],MATCH(DN$1,Products,0),2)="Cores",IF(HostBuild[Use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29" s="59">
        <f>IFERROR(IF(FIND(DO$1,$W129)&gt;0,IF(INDEX([1]!Product_Pricing_Table[#Data],MATCH(DO$1,Products,0),2)="Cores",IF(HostBuild[Use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29" s="59">
        <f>IFERROR(IF(FIND(DP$1,$W129)&gt;0,IF(INDEX([1]!Product_Pricing_Table[#Data],MATCH(DP$1,Products,0),2)="Cores",IF(HostBuild[Use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29" s="59">
        <f>IFERROR(IF(FIND(DQ$1,$W129)&gt;0,IF(INDEX([1]!Product_Pricing_Table[#Data],MATCH(DQ$1,Products,0),2)="Cores",IF(HostBuild[Use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29" s="59">
        <f>IFERROR(IF(FIND(DR$1,$W129)&gt;0,IF(INDEX([1]!Product_Pricing_Table[#Data],MATCH(DR$1,Products,0),2)="Cores",IF(HostBuild[Use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29" s="59">
        <f>IFERROR(IF(FIND(DS$1,$W129)&gt;0,IF(INDEX([1]!Product_Pricing_Table[#Data],MATCH(DS$1,Products,0),2)="Cores",IF(HostBuild[Use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29" s="59">
        <f>IFERROR(IF(FIND(DT$1,$W129)&gt;0,IF(INDEX([1]!Product_Pricing_Table[#Data],MATCH(DT$1,Products,0),2)="Cores",IF(HostBuild[Use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29" s="59">
        <f>IFERROR(IF(FIND(DU$1,$W129)&gt;0,IF(INDEX([1]!Product_Pricing_Table[#Data],MATCH(DU$1,Products,0),2)="Cores",IF(HostBuild[Use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29" s="59">
        <f>IFERROR(IF(FIND(DV$1,$W129)&gt;0,IF(INDEX([1]!Product_Pricing_Table[#Data],MATCH(DV$1,Products,0),2)="Cores",IF(HostBuild[Use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29" s="59">
        <f>IFERROR(IF(FIND(DW$1,$W129)&gt;0,IF(INDEX([1]!Product_Pricing_Table[#Data],MATCH(DW$1,Products,0),2)="Cores",IF(HostBuild[Use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29" s="59">
        <f>IFERROR(IF(FIND(DX$1,$W129)&gt;0,IF(INDEX([1]!Product_Pricing_Table[#Data],MATCH(DX$1,Products,0),2)="Cores",IF(HostBuild[Use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29" s="59">
        <f>IFERROR(IF(FIND(DY$1,$W129)&gt;0,IF(INDEX([1]!Product_Pricing_Table[#Data],MATCH(DY$1,Products,0),2)="Cores",IF(HostBuild[Use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29" s="59">
        <f>IFERROR(IF(FIND(DZ$1,$W129)&gt;0,IF(INDEX([1]!Product_Pricing_Table[#Data],MATCH(DZ$1,Products,0),2)="Cores",IF(HostBuild[Use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29" s="59">
        <f>IFERROR(IF(FIND(EA$1,$W129)&gt;0,IF(INDEX([1]!Product_Pricing_Table[#Data],MATCH(EA$1,Products,0),2)="Cores",IF(HostBuild[Use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29" s="59">
        <f>IFERROR(IF(FIND(EB$1,$W129)&gt;0,IF(INDEX([1]!Product_Pricing_Table[#Data],MATCH(EB$1,Products,0),2)="Cores",IF(HostBuild[Use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29" s="60">
        <f>IFERROR(IF(FIND(EC$1,$W129)&gt;0,IF(INDEX([1]!Product_Pricing_Table[#Data],MATCH(EC$1,Products,0),2)="Cores",IF(HostBuild[Use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29" s="59">
        <f>IFERROR(IF(FIND(ED$1,$W129)&gt;0,IF(INDEX([1]!Product_Pricing_Table[#Data],MATCH(ED$1,Products,0),2)="Cores",IF(HostBuild[Use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29" s="59">
        <f>IFERROR(IF(FIND(EE$1,$W129)&gt;0,IF(INDEX([1]!Product_Pricing_Table[#Data],MATCH(EE$1,Products,0),2)="Cores",IF(HostBuild[Use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29" s="59">
        <f>IFERROR(IF(FIND(EF$1,$W129)&gt;0,IF(INDEX([1]!Product_Pricing_Table[#Data],MATCH(EF$1,Products,0),2)="Cores",IF(HostBuild[Use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29" s="59">
        <f>IFERROR(IF(FIND(EG$1,$W129)&gt;0,IF(INDEX([1]!Product_Pricing_Table[#Data],MATCH(EG$1,Products,0),2)="Cores",IF(HostBuild[Use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29" s="59">
        <f>IFERROR(IF(FIND(EH$1,$W129)&gt;0,IF(INDEX([1]!Product_Pricing_Table[#Data],MATCH(EH$1,Products,0),2)="Cores",IF(HostBuild[Use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29" s="59">
        <f>IFERROR(IF(FIND(EI$1,$W129)&gt;0,IF(INDEX([1]!Product_Pricing_Table[#Data],MATCH(EI$1,Products,0),2)="Cores",IF(HostBuild[Use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29" s="59">
        <f>IFERROR(IF(FIND(EJ$1,$W129)&gt;0,IF(INDEX([1]!Product_Pricing_Table[#Data],MATCH(EJ$1,Products,0),2)="Cores",IF(HostBuild[Use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29" s="60">
        <f>IFERROR(IF(FIND(EK$1,$W129)&gt;0,IF(INDEX([1]!Product_Pricing_Table[#Data],MATCH(EK$1,Products,0),2)="Cores",IF(HostBuild[Use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29" s="61"/>
      <c r="EM129" s="62"/>
      <c r="EN129" s="63"/>
      <c r="EO129"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2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29" s="132">
        <f>(HostBuild[Archive
Full (GB)]+HostBuild[Archive
Incr (GB)])*Storage_DC_Dist_Tape_2014</f>
        <v>81.385500000000008</v>
      </c>
      <c r="ER129" s="132">
        <f>IF(ISNUMBER(HostBuild[Server HW Costs
(Monthly)]),SUM(HostBuild[[#This Row],[Server HW Costs
(Monthly)]:[Tape Costs
(Monthly)]]),0)</f>
        <v>1334.0455000000002</v>
      </c>
      <c r="ES129" s="65">
        <f>HostBuild[Software Costs
'[Year 1']
(Monthly)]+HostBuild[Total Hardware Costs
(Monthly)]</f>
        <v>1334.0455000000002</v>
      </c>
      <c r="ET129" s="65">
        <f>IFERROR(IF(FIND("Safenet",HostBuild[Server Model]),Safenet_PSE_PL600_Maint,0),0)+IFERROR(IF(FIND("XI52",HostBuild[Server Model]),IBM_DIA_XI52_Maint,0),0)+HostBuild[Software Costs
'[After Year 1']
(Monthly)]+HostBuild[Total Hardware Costs
(Monthly)]</f>
        <v>1334.0455000000002</v>
      </c>
      <c r="EU129" s="66">
        <f>SUM(HostBuild[[#This Row],[Server Cost Breakdown]:[Network Cost]])</f>
        <v>888.7</v>
      </c>
      <c r="EV129" s="67">
        <f>IF(HostBuild[Existing Server?]="Yes - Inside this BoM",0,SUMIF(HostBuild[Alias],HostBuild[Alias],HostBuild[CPU])+SUMIF(HostBuild[Alias],HostBuild[Alias],HostBuild[Existing CPUs]))</f>
        <v>2</v>
      </c>
      <c r="EW129" s="67">
        <f>IF(HostBuild[Existing Server?]="Yes - Inside this BoM",0,SUMIF(HostBuild[Alias],HostBuild[Alias],HostBuild[Cores 
(Licensed Units)])+SUMIF(HostBuild[Alias],HostBuild[Alias],HostBuild[Existing Cores]))</f>
        <v>16</v>
      </c>
      <c r="EX129" s="67">
        <f>IF(HostBuild[Existing Server?]="Yes - Inside this BoM",0,SUMIF(HostBuild[Alias],HostBuild[Alias],HostBuild[RAM 
(GB)])+SUMIF(HostBuild[Alias],HostBuild[Alias],HostBuild[Existing RAM (GB)]))</f>
        <v>128</v>
      </c>
      <c r="EY12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2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2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2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29" s="66">
        <f>IF(ISBLANK(HostBuild[Server Model]),0,IF(HostBuild[Server Tier]="VMware",0,VLOOKUP(HostBuild[Server Tier],[1]!ServerTierRates[#Data],2,0))*HostBuild[CPU]*IF(AND(HostBuild[Server Type]="pSeries",HostBuild[Virtual Platform Storage Type]="Cloud-SAN"),0.25,1))</f>
        <v>608</v>
      </c>
      <c r="FD129" s="66">
        <f>0</f>
        <v>0</v>
      </c>
      <c r="FE129" s="66">
        <f>IF(HostBuild[Server Type]="VMware",HostBuild[RAM 
(GB)]*IF(ISERROR(FIND("DevCloud", HostBuild[Server Model])&gt;0),vRAM_per_vCPU_2014_Monthly,vRAM_per_vCPU_2014_Daily*30),0)</f>
        <v>0</v>
      </c>
      <c r="FF12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2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29" s="69">
        <f>IF(HostBuild[Server Tier]="VMware",0,IF(LEFT(HostBuild[Existing Server?],3)="Yes",0,IF(OR(HostBuild[Server Type]="Sun",HostBuild[Server Type]="pSeries"),Support_Direct_Server_Sun_per_OS_2014,IF(HostBuild[Server Type]="x86",Support_Direct_Server_x86_Wintel_per_OS_2014,0))))</f>
        <v>187.1</v>
      </c>
      <c r="FI12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0" spans="1:165" hidden="1">
      <c r="A130" s="122" t="s">
        <v>53</v>
      </c>
      <c r="B130" s="36"/>
      <c r="C130" s="36"/>
      <c r="D130" s="36"/>
      <c r="E130" s="37"/>
      <c r="F130" s="37"/>
      <c r="G130" s="103"/>
      <c r="H130" s="103"/>
      <c r="I130" s="38"/>
      <c r="J130" s="37"/>
      <c r="K130" s="37"/>
      <c r="L130" s="37"/>
      <c r="M130" s="103" t="e">
        <f ca="1">IF(rngIsDate(HostBuild[CTO Acceptance]),"Y","N")</f>
        <v>#NAME?</v>
      </c>
      <c r="N130" s="123" t="s">
        <v>4</v>
      </c>
      <c r="O130" s="39"/>
      <c r="P130" s="39"/>
      <c r="Q130" s="123" t="s">
        <v>192</v>
      </c>
      <c r="R130" s="126" t="str">
        <f>IF(NOT(ISBLANK(HostBuild[Env Label])),IFERROR(VLOOKUP(HostBuild[Env Label],[1]!tEnv[#Data],3,FALSE),""),"")</f>
        <v/>
      </c>
      <c r="S130" s="104"/>
      <c r="T130" s="40"/>
      <c r="U130" s="105"/>
      <c r="V130" s="123" t="s">
        <v>47</v>
      </c>
      <c r="W130" s="123" t="s">
        <v>190</v>
      </c>
      <c r="X130" s="123" t="s">
        <v>57</v>
      </c>
      <c r="Y130" s="123" t="s">
        <v>188</v>
      </c>
      <c r="Z130" s="126" t="str">
        <f>IF(NOT(ISBLANK(HostBuild[[#This Row],[Product 
(Acronym)]])),CONCATENATE(HostBuild[[#This Row],[Type]],"-",HostBuild[[#This Row],[Product 
(Acronym)]]),"")</f>
        <v>AP-CBOL</v>
      </c>
      <c r="AA130" s="106"/>
      <c r="AB130" s="106" t="s">
        <v>76</v>
      </c>
      <c r="AC130" s="41"/>
      <c r="AD130" s="42"/>
      <c r="AE130" s="42"/>
      <c r="AF130" s="43"/>
      <c r="AG130" s="124"/>
      <c r="AH130" s="107"/>
      <c r="AI130" s="124" t="s">
        <v>199</v>
      </c>
      <c r="AJ130" s="123">
        <f>IF(COUNTIF(HostBuild[Alias],HostBuild[Alias]),1/COUNTIF(HostBuild[Alias],HostBuild[Alias]),0)</f>
        <v>1</v>
      </c>
      <c r="AK130" s="124"/>
      <c r="AL130" s="124"/>
      <c r="AM130" s="44" t="s">
        <v>62</v>
      </c>
      <c r="AN130" s="45" t="str">
        <f>IF(NOT(ISBLANK(HostBuild[Server Model])),VLOOKUP(HostBuild[Server Model],[1]!ServerModelsTier[#Data],2,FALSE),"")</f>
        <v>x86 Tier 3</v>
      </c>
      <c r="AO130" s="45" t="str">
        <f>IF(NOT(ISBLANK(HostBuild[Server Model])),VLOOKUP(HostBuild[Server Model],[1]!ServerModelsTier[#Data],5,FALSE),"")</f>
        <v>x86</v>
      </c>
      <c r="AP130" s="44"/>
      <c r="AQ130" s="44" t="s">
        <v>63</v>
      </c>
      <c r="AR130" s="46">
        <v>2</v>
      </c>
      <c r="AS130" s="108"/>
      <c r="AT130" s="47">
        <v>16</v>
      </c>
      <c r="AU130" s="109" t="str">
        <f>IF(IFERROR(FIND("P-Series",HostBuild[Server Tier]),0),CEILING((HostBuild[Existing CPUs]+HostBuild[CPU])*16,8),"")</f>
        <v/>
      </c>
      <c r="AV130" s="48">
        <v>128</v>
      </c>
      <c r="AW130" s="124"/>
      <c r="AX130" s="124"/>
      <c r="AY130" s="124"/>
      <c r="AZ130" s="49"/>
      <c r="BA130" s="124"/>
      <c r="BB130" s="124"/>
      <c r="BC130" s="42"/>
      <c r="BD130" s="124"/>
      <c r="BE130" s="124"/>
      <c r="BF130" s="124"/>
      <c r="BG130" s="124"/>
      <c r="BH130" s="124"/>
      <c r="BI130" s="124"/>
      <c r="BJ130" s="124"/>
      <c r="BK130"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0" s="127">
        <v>600</v>
      </c>
      <c r="BM130" s="129">
        <f>IF(ISNUMBER(HostBuild[Recommended SAN (GB)]),HostBuild[Recommended SAN (GB)])+IF(HostBuild[Additional SAN (GB)]&gt;0,CEILING(HostBuild[Additional SAN (GB)],LUN),-(CEILING(-HostBuild[Additional SAN (GB)],LUN)))</f>
        <v>808.80000000000007</v>
      </c>
      <c r="BN130" s="128"/>
      <c r="BO130" s="129">
        <f>HostBuild[SAN (GB)
NEEDED TODAY]+CEILING(HostBuild[SAN (GB)
RESERVED
DO NOT USE TO BUILD], LUN)</f>
        <v>808.80000000000007</v>
      </c>
      <c r="BP130" s="130"/>
      <c r="BQ130" s="131"/>
      <c r="BR130" s="125" t="s">
        <v>76</v>
      </c>
      <c r="BS130" s="110">
        <f>IF(HostBuild[Existing Server?]&lt;&gt;"Yes - Inside this BoM",IF(ISNUMBER(HostBuild[RAM 
(GB)]),IF(HostBuild[Existing RAM (GB)]+HostBuild[RAM 
(GB)]&gt;0,IF(HostBuild[Virtual Platform Storage Type]="NAS",110+HostBuild[Existing RAM (GB)]+HostBuild[RAM 
(GB)]*1.75,0),0),0),0)</f>
        <v>0</v>
      </c>
      <c r="BT130" s="111"/>
      <c r="BU130" s="112">
        <f>IF(ISNUMBER(HostBuild[Recommended NAS (GB)]),HostBuild[Recommended NAS (GB)])+HostBuild[Additional NAS (GB)]</f>
        <v>0</v>
      </c>
      <c r="BV130" s="50"/>
      <c r="BW130" s="50"/>
      <c r="BX130" s="133">
        <f>IFERROR((HostBuild[SAN (GB)
End-State
DO NOT USE TO BUILD]+HostBuild[SAN (GB) Shared])*25%,"")</f>
        <v>202.20000000000002</v>
      </c>
      <c r="BY130" s="113">
        <f>IFERROR(HostBuild[Archive
Full (GB)]*15%,"")</f>
        <v>30.330000000000002</v>
      </c>
      <c r="BZ130" s="51"/>
      <c r="CA130" s="51"/>
      <c r="CB130" s="52"/>
      <c r="CC130" s="53"/>
      <c r="CD130" s="52"/>
      <c r="CE130" s="54"/>
      <c r="CF130" s="128"/>
      <c r="CG130" s="114"/>
      <c r="CH130" s="55"/>
      <c r="CI130" s="56"/>
      <c r="CJ130" s="123" t="s">
        <v>13</v>
      </c>
      <c r="CK130" s="58"/>
      <c r="CL130" s="59">
        <f>IFERROR(IF(FIND(CL$1,$W130)&gt;0,IF(INDEX([1]!Product_Pricing_Table[#Data],MATCH(CL$1,Products,0),2)="Cores",IF(HostBuild[Use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0" s="59">
        <f>IFERROR(IF(FIND(CM$1,$W130)&gt;0,IF(INDEX([1]!Product_Pricing_Table[#Data],MATCH(CM$1,Products,0),2)="Cores",IF(HostBuild[Use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0" s="59">
        <f>IFERROR(IF(FIND(CN$1,$W130)&gt;0,IF(INDEX([1]!Product_Pricing_Table[#Data],MATCH(CN$1,Products,0),2)="Cores",IF(HostBuild[Use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0" s="59">
        <f>IFERROR(IF(FIND(CO$1,$W130)&gt;0,IF(INDEX([1]!Product_Pricing_Table[#Data],MATCH(CO$1,Products,0),2)="Cores",IF(HostBuild[Use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0" s="59">
        <f>IFERROR(IF(FIND(CP$1,$W130)&gt;0,IF(INDEX([1]!Product_Pricing_Table[#Data],MATCH(CP$1,Products,0),2)="Cores",IF(HostBuild[Use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0" s="59">
        <f>IFERROR(IF(FIND(CQ$1,$W130)&gt;0,IF(INDEX([1]!Product_Pricing_Table[#Data],MATCH(CQ$1,Products,0),2)="Cores",IF(HostBuild[Use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0" s="59">
        <f>IFERROR(IF(FIND(CR$1,$W130)&gt;0,IF(INDEX([1]!Product_Pricing_Table[#Data],MATCH(CR$1,Products,0),2)="Cores",IF(HostBuild[Use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0" s="59">
        <f>IFERROR(IF(FIND(CS$1,$W130)&gt;0,IF(INDEX([1]!Product_Pricing_Table[#Data],MATCH(CS$1,Products,0),2)="Cores",IF(HostBuild[Use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0" s="59">
        <f>IFERROR(IF(FIND(CT$1,$W130)&gt;0,IF(INDEX([1]!Product_Pricing_Table[#Data],MATCH(CT$1,Products,0),2)="Cores",IF(HostBuild[Use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0" s="59">
        <f>IFERROR(IF(FIND(CU$1,$W130)&gt;0,IF(INDEX([1]!Product_Pricing_Table[#Data],MATCH(CU$1,Products,0),2)="Cores",IF(HostBuild[Use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0" s="59">
        <f>IFERROR(IF(FIND(CV$1,$W130)&gt;0,IF(INDEX([1]!Product_Pricing_Table[#Data],MATCH(CV$1,Products,0),2)="Cores",IF(HostBuild[Use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0" s="59">
        <f>IFERROR(IF(FIND(CW$1,$W130)&gt;0,IF(INDEX([1]!Product_Pricing_Table[#Data],MATCH(CW$1,Products,0),2)="Cores",IF(HostBuild[Use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0" s="59">
        <f>IFERROR(IF(FIND(CX$1,$W130)&gt;0,IF(INDEX([1]!Product_Pricing_Table[#Data],MATCH(CX$1,Products,0),2)="Cores",IF(HostBuild[Use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0" s="59">
        <f>IFERROR(IF(FIND(CY$1,$W130)&gt;0,IF(INDEX([1]!Product_Pricing_Table[#Data],MATCH(CY$1,Products,0),2)="Cores",IF(HostBuild[Use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0" s="59">
        <f>IFERROR(IF(FIND(CZ$1,$W130)&gt;0,IF(INDEX([1]!Product_Pricing_Table[#Data],MATCH(CZ$1,Products,0),2)="Cores",IF(HostBuild[Use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0" s="59">
        <f>IFERROR(IF(FIND(DA$1,$W130)&gt;0,IF(INDEX([1]!Product_Pricing_Table[#Data],MATCH(DA$1,Products,0),2)="Cores",IF(HostBuild[Use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0" s="59">
        <f>IFERROR(IF(FIND(DB$1,$W130)&gt;0,IF(INDEX([1]!Product_Pricing_Table[#Data],MATCH(DB$1,Products,0),2)="Cores",IF(HostBuild[Use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0" s="59">
        <f>IFERROR(IF(FIND(DC$1,$W130)&gt;0,IF(INDEX([1]!Product_Pricing_Table[#Data],MATCH(DC$1,Products,0),2)="Cores",IF(HostBuild[Use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0" s="59">
        <f>IFERROR(IF(FIND(DD$1,$W130)&gt;0,IF(INDEX([1]!Product_Pricing_Table[#Data],MATCH(DD$1,Products,0),2)="Cores",IF(HostBuild[Use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0" s="59">
        <f>IFERROR(IF(FIND(DE$1,$W130)&gt;0,IF(INDEX([1]!Product_Pricing_Table[#Data],MATCH(DE$1,Products,0),2)="Cores",IF(HostBuild[Use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0" s="60">
        <f>IFERROR(IF(FIND(DF$1,$W130)&gt;0,IF(INDEX([1]!Product_Pricing_Table[#Data],MATCH(DF$1,Products,0),2)="Cores",IF(HostBuild[Use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0" s="60">
        <f>IFERROR(IF(FIND(DG$1,$W130)&gt;0,IF(INDEX([1]!Product_Pricing_Table[#Data],MATCH(DG$1,Products,0),2)="Cores",IF(HostBuild[Use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0" s="59">
        <f>IFERROR(IF(FIND(DH$1,$W130)&gt;0,IF(INDEX([1]!Product_Pricing_Table[#Data],MATCH(DH$1,Products,0),2)="Cores",IF(HostBuild[Use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0" s="60">
        <f>IFERROR(IF(FIND(DI$1,$W130)&gt;0,IF(INDEX([1]!Product_Pricing_Table[#Data],MATCH(DI$1,Products,0),2)="Cores",IF(HostBuild[Use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0" s="59">
        <f>IFERROR(IF(FIND(DJ$1,$W130)&gt;0,IF(INDEX([1]!Product_Pricing_Table[#Data],MATCH(DJ$1,Products,0),2)="Cores",IF(HostBuild[Use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0" s="59">
        <f>IFERROR(IF(FIND(DK$1,$W130)&gt;0,IF(INDEX([1]!Product_Pricing_Table[#Data],MATCH(DK$1,Products,0),2)="Cores",IF(HostBuild[Use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0" s="59">
        <f>IFERROR(IF(FIND(DL$1,$W130)&gt;0,IF(INDEX([1]!Product_Pricing_Table[#Data],MATCH(DL$1,Products,0),2)="Cores",IF(HostBuild[Use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0" s="59">
        <f>IFERROR(IF(FIND(DM$1,$W130)&gt;0,IF(INDEX([1]!Product_Pricing_Table[#Data],MATCH(DM$1,Products,0),2)="Cores",IF(HostBuild[Use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0" s="59">
        <f>IFERROR(IF(FIND(DN$1,$W130)&gt;0,IF(INDEX([1]!Product_Pricing_Table[#Data],MATCH(DN$1,Products,0),2)="Cores",IF(HostBuild[Use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0" s="59">
        <f>IFERROR(IF(FIND(DO$1,$W130)&gt;0,IF(INDEX([1]!Product_Pricing_Table[#Data],MATCH(DO$1,Products,0),2)="Cores",IF(HostBuild[Use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0" s="59">
        <f>IFERROR(IF(FIND(DP$1,$W130)&gt;0,IF(INDEX([1]!Product_Pricing_Table[#Data],MATCH(DP$1,Products,0),2)="Cores",IF(HostBuild[Use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0" s="59">
        <f>IFERROR(IF(FIND(DQ$1,$W130)&gt;0,IF(INDEX([1]!Product_Pricing_Table[#Data],MATCH(DQ$1,Products,0),2)="Cores",IF(HostBuild[Use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0" s="59">
        <f>IFERROR(IF(FIND(DR$1,$W130)&gt;0,IF(INDEX([1]!Product_Pricing_Table[#Data],MATCH(DR$1,Products,0),2)="Cores",IF(HostBuild[Use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0" s="59">
        <f>IFERROR(IF(FIND(DS$1,$W130)&gt;0,IF(INDEX([1]!Product_Pricing_Table[#Data],MATCH(DS$1,Products,0),2)="Cores",IF(HostBuild[Use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0" s="59">
        <f>IFERROR(IF(FIND(DT$1,$W130)&gt;0,IF(INDEX([1]!Product_Pricing_Table[#Data],MATCH(DT$1,Products,0),2)="Cores",IF(HostBuild[Use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0" s="59">
        <f>IFERROR(IF(FIND(DU$1,$W130)&gt;0,IF(INDEX([1]!Product_Pricing_Table[#Data],MATCH(DU$1,Products,0),2)="Cores",IF(HostBuild[Use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0" s="59">
        <f>IFERROR(IF(FIND(DV$1,$W130)&gt;0,IF(INDEX([1]!Product_Pricing_Table[#Data],MATCH(DV$1,Products,0),2)="Cores",IF(HostBuild[Use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30" s="59">
        <f>IFERROR(IF(FIND(DW$1,$W130)&gt;0,IF(INDEX([1]!Product_Pricing_Table[#Data],MATCH(DW$1,Products,0),2)="Cores",IF(HostBuild[Use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0" s="59">
        <f>IFERROR(IF(FIND(DX$1,$W130)&gt;0,IF(INDEX([1]!Product_Pricing_Table[#Data],MATCH(DX$1,Products,0),2)="Cores",IF(HostBuild[Use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0" s="59">
        <f>IFERROR(IF(FIND(DY$1,$W130)&gt;0,IF(INDEX([1]!Product_Pricing_Table[#Data],MATCH(DY$1,Products,0),2)="Cores",IF(HostBuild[Use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0" s="59">
        <f>IFERROR(IF(FIND(DZ$1,$W130)&gt;0,IF(INDEX([1]!Product_Pricing_Table[#Data],MATCH(DZ$1,Products,0),2)="Cores",IF(HostBuild[Use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0" s="59">
        <f>IFERROR(IF(FIND(EA$1,$W130)&gt;0,IF(INDEX([1]!Product_Pricing_Table[#Data],MATCH(EA$1,Products,0),2)="Cores",IF(HostBuild[Use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0" s="59">
        <f>IFERROR(IF(FIND(EB$1,$W130)&gt;0,IF(INDEX([1]!Product_Pricing_Table[#Data],MATCH(EB$1,Products,0),2)="Cores",IF(HostBuild[Use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0" s="60">
        <f>IFERROR(IF(FIND(EC$1,$W130)&gt;0,IF(INDEX([1]!Product_Pricing_Table[#Data],MATCH(EC$1,Products,0),2)="Cores",IF(HostBuild[Use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0" s="59">
        <f>IFERROR(IF(FIND(ED$1,$W130)&gt;0,IF(INDEX([1]!Product_Pricing_Table[#Data],MATCH(ED$1,Products,0),2)="Cores",IF(HostBuild[Use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0" s="59">
        <f>IFERROR(IF(FIND(EE$1,$W130)&gt;0,IF(INDEX([1]!Product_Pricing_Table[#Data],MATCH(EE$1,Products,0),2)="Cores",IF(HostBuild[Use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0" s="59">
        <f>IFERROR(IF(FIND(EF$1,$W130)&gt;0,IF(INDEX([1]!Product_Pricing_Table[#Data],MATCH(EF$1,Products,0),2)="Cores",IF(HostBuild[Use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0" s="59">
        <f>IFERROR(IF(FIND(EG$1,$W130)&gt;0,IF(INDEX([1]!Product_Pricing_Table[#Data],MATCH(EG$1,Products,0),2)="Cores",IF(HostBuild[Use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0" s="59">
        <f>IFERROR(IF(FIND(EH$1,$W130)&gt;0,IF(INDEX([1]!Product_Pricing_Table[#Data],MATCH(EH$1,Products,0),2)="Cores",IF(HostBuild[Use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0" s="59">
        <f>IFERROR(IF(FIND(EI$1,$W130)&gt;0,IF(INDEX([1]!Product_Pricing_Table[#Data],MATCH(EI$1,Products,0),2)="Cores",IF(HostBuild[Use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0" s="59">
        <f>IFERROR(IF(FIND(EJ$1,$W130)&gt;0,IF(INDEX([1]!Product_Pricing_Table[#Data],MATCH(EJ$1,Products,0),2)="Cores",IF(HostBuild[Use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0" s="60">
        <f>IFERROR(IF(FIND(EK$1,$W130)&gt;0,IF(INDEX([1]!Product_Pricing_Table[#Data],MATCH(EK$1,Products,0),2)="Cores",IF(HostBuild[Use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0" s="61"/>
      <c r="EM130" s="62">
        <v>4102</v>
      </c>
      <c r="EN130" s="63">
        <v>1638</v>
      </c>
      <c r="EO130"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30" s="132">
        <f>(HostBuild[Archive
Full (GB)]+HostBuild[Archive
Incr (GB)])*Storage_DC_Dist_Tape_2014</f>
        <v>81.385500000000008</v>
      </c>
      <c r="ER130" s="132">
        <f>IF(ISNUMBER(HostBuild[Server HW Costs
(Monthly)]),SUM(HostBuild[[#This Row],[Server HW Costs
(Monthly)]:[Tape Costs
(Monthly)]]),0)</f>
        <v>1334.0455000000002</v>
      </c>
      <c r="ES130" s="65">
        <f>HostBuild[Software Costs
'[Year 1']
(Monthly)]+HostBuild[Total Hardware Costs
(Monthly)]</f>
        <v>5436.0455000000002</v>
      </c>
      <c r="ET130" s="65">
        <f>IFERROR(IF(FIND("Safenet",HostBuild[Server Model]),Safenet_PSE_PL600_Maint,0),0)+IFERROR(IF(FIND("XI52",HostBuild[Server Model]),IBM_DIA_XI52_Maint,0),0)+HostBuild[Software Costs
'[After Year 1']
(Monthly)]+HostBuild[Total Hardware Costs
(Monthly)]</f>
        <v>2972.0455000000002</v>
      </c>
      <c r="EU130" s="66">
        <f>SUM(HostBuild[[#This Row],[Server Cost Breakdown]:[Network Cost]])</f>
        <v>888.7</v>
      </c>
      <c r="EV130" s="67">
        <f>IF(HostBuild[Existing Server?]="Yes - Inside this BoM",0,SUMIF(HostBuild[Alias],HostBuild[Alias],HostBuild[CPU])+SUMIF(HostBuild[Alias],HostBuild[Alias],HostBuild[Existing CPUs]))</f>
        <v>2</v>
      </c>
      <c r="EW130" s="67">
        <f>IF(HostBuild[Existing Server?]="Yes - Inside this BoM",0,SUMIF(HostBuild[Alias],HostBuild[Alias],HostBuild[Cores 
(Licensed Units)])+SUMIF(HostBuild[Alias],HostBuild[Alias],HostBuild[Existing Cores]))</f>
        <v>16</v>
      </c>
      <c r="EX130" s="67">
        <f>IF(HostBuild[Existing Server?]="Yes - Inside this BoM",0,SUMIF(HostBuild[Alias],HostBuild[Alias],HostBuild[RAM 
(GB)])+SUMIF(HostBuild[Alias],HostBuild[Alias],HostBuild[Existing RAM (GB)]))</f>
        <v>128</v>
      </c>
      <c r="EY13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0" s="66">
        <f>IF(ISBLANK(HostBuild[Server Model]),0,IF(HostBuild[Server Tier]="VMware",0,VLOOKUP(HostBuild[Server Tier],[1]!ServerTierRates[#Data],2,0))*HostBuild[CPU]*IF(AND(HostBuild[Server Type]="pSeries",HostBuild[Virtual Platform Storage Type]="Cloud-SAN"),0.25,1))</f>
        <v>608</v>
      </c>
      <c r="FD130" s="66">
        <f>0</f>
        <v>0</v>
      </c>
      <c r="FE130" s="66">
        <f>IF(HostBuild[Server Type]="VMware",HostBuild[RAM 
(GB)]*IF(ISERROR(FIND("DevCloud", HostBuild[Server Model])&gt;0),vRAM_per_vCPU_2014_Monthly,vRAM_per_vCPU_2014_Daily*30),0)</f>
        <v>0</v>
      </c>
      <c r="FF13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0" s="69">
        <f>IF(HostBuild[Server Tier]="VMware",0,IF(LEFT(HostBuild[Existing Server?],3)="Yes",0,IF(OR(HostBuild[Server Type]="Sun",HostBuild[Server Type]="pSeries"),Support_Direct_Server_Sun_per_OS_2014,IF(HostBuild[Server Type]="x86",Support_Direct_Server_x86_Wintel_per_OS_2014,0))))</f>
        <v>187.1</v>
      </c>
      <c r="FI13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1" spans="1:165" hidden="1">
      <c r="A131" s="122" t="s">
        <v>53</v>
      </c>
      <c r="B131" s="36"/>
      <c r="C131" s="36"/>
      <c r="D131" s="36"/>
      <c r="E131" s="37"/>
      <c r="F131" s="37"/>
      <c r="G131" s="103"/>
      <c r="H131" s="103"/>
      <c r="I131" s="38"/>
      <c r="J131" s="37"/>
      <c r="K131" s="37"/>
      <c r="L131" s="37"/>
      <c r="M131" s="103" t="e">
        <f ca="1">IF(rngIsDate(HostBuild[CTO Acceptance]),"Y","N")</f>
        <v>#NAME?</v>
      </c>
      <c r="N131" s="123" t="s">
        <v>3</v>
      </c>
      <c r="O131" s="39"/>
      <c r="P131" s="39"/>
      <c r="Q131" s="123" t="s">
        <v>1</v>
      </c>
      <c r="R131" s="126" t="str">
        <f>IF(NOT(ISBLANK(HostBuild[Env Label])),IFERROR(VLOOKUP(HostBuild[Env Label],[1]!tEnv[#Data],3,FALSE),""),"")</f>
        <v/>
      </c>
      <c r="S131" s="104"/>
      <c r="T131" s="40"/>
      <c r="U131" s="105"/>
      <c r="V131" s="123" t="s">
        <v>47</v>
      </c>
      <c r="W131" s="123" t="s">
        <v>190</v>
      </c>
      <c r="X131" s="123" t="s">
        <v>57</v>
      </c>
      <c r="Y131" s="123" t="s">
        <v>188</v>
      </c>
      <c r="Z131" s="126" t="str">
        <f>IF(NOT(ISBLANK(HostBuild[[#This Row],[Product 
(Acronym)]])),CONCATENATE(HostBuild[[#This Row],[Type]],"-",HostBuild[[#This Row],[Product 
(Acronym)]]),"")</f>
        <v>AP-CBOL</v>
      </c>
      <c r="AA131" s="106"/>
      <c r="AB131" s="106" t="s">
        <v>76</v>
      </c>
      <c r="AC131" s="41"/>
      <c r="AD131" s="42"/>
      <c r="AE131" s="42"/>
      <c r="AF131" s="43"/>
      <c r="AG131" s="124"/>
      <c r="AH131" s="107"/>
      <c r="AI131" s="124" t="s">
        <v>200</v>
      </c>
      <c r="AJ131" s="123">
        <f>IF(COUNTIF(HostBuild[Alias],HostBuild[Alias]),1/COUNTIF(HostBuild[Alias],HostBuild[Alias]),0)</f>
        <v>1</v>
      </c>
      <c r="AK131" s="124"/>
      <c r="AL131" s="124"/>
      <c r="AM131" s="44" t="s">
        <v>62</v>
      </c>
      <c r="AN131" s="45" t="str">
        <f>IF(NOT(ISBLANK(HostBuild[Server Model])),VLOOKUP(HostBuild[Server Model],[1]!ServerModelsTier[#Data],2,FALSE),"")</f>
        <v>x86 Tier 3</v>
      </c>
      <c r="AO131" s="45" t="str">
        <f>IF(NOT(ISBLANK(HostBuild[Server Model])),VLOOKUP(HostBuild[Server Model],[1]!ServerModelsTier[#Data],5,FALSE),"")</f>
        <v>x86</v>
      </c>
      <c r="AP131" s="44"/>
      <c r="AQ131" s="44" t="s">
        <v>63</v>
      </c>
      <c r="AR131" s="46">
        <v>2</v>
      </c>
      <c r="AS131" s="108"/>
      <c r="AT131" s="47">
        <v>16</v>
      </c>
      <c r="AU131" s="109" t="str">
        <f>IF(IFERROR(FIND("P-Series",HostBuild[Server Tier]),0),CEILING((HostBuild[Existing CPUs]+HostBuild[CPU])*16,8),"")</f>
        <v/>
      </c>
      <c r="AV131" s="48">
        <v>128</v>
      </c>
      <c r="AW131" s="124"/>
      <c r="AX131" s="124"/>
      <c r="AY131" s="124"/>
      <c r="AZ131" s="49"/>
      <c r="BA131" s="124"/>
      <c r="BB131" s="124"/>
      <c r="BC131" s="42"/>
      <c r="BD131" s="124"/>
      <c r="BE131" s="124"/>
      <c r="BF131" s="124"/>
      <c r="BG131" s="124"/>
      <c r="BH131" s="124"/>
      <c r="BI131" s="124"/>
      <c r="BJ131" s="124"/>
      <c r="BK131"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1" s="127">
        <v>600</v>
      </c>
      <c r="BM131" s="129">
        <f>IF(ISNUMBER(HostBuild[Recommended SAN (GB)]),HostBuild[Recommended SAN (GB)])+IF(HostBuild[Additional SAN (GB)]&gt;0,CEILING(HostBuild[Additional SAN (GB)],LUN),-(CEILING(-HostBuild[Additional SAN (GB)],LUN)))</f>
        <v>808.80000000000007</v>
      </c>
      <c r="BN131" s="128"/>
      <c r="BO131" s="129">
        <f>HostBuild[SAN (GB)
NEEDED TODAY]+CEILING(HostBuild[SAN (GB)
RESERVED
DO NOT USE TO BUILD], LUN)</f>
        <v>808.80000000000007</v>
      </c>
      <c r="BP131" s="130"/>
      <c r="BQ131" s="131"/>
      <c r="BR131" s="125" t="s">
        <v>76</v>
      </c>
      <c r="BS131" s="110">
        <f>IF(HostBuild[Existing Server?]&lt;&gt;"Yes - Inside this BoM",IF(ISNUMBER(HostBuild[RAM 
(GB)]),IF(HostBuild[Existing RAM (GB)]+HostBuild[RAM 
(GB)]&gt;0,IF(HostBuild[Virtual Platform Storage Type]="NAS",110+HostBuild[Existing RAM (GB)]+HostBuild[RAM 
(GB)]*1.75,0),0),0),0)</f>
        <v>0</v>
      </c>
      <c r="BT131" s="111"/>
      <c r="BU131" s="112">
        <f>IF(ISNUMBER(HostBuild[Recommended NAS (GB)]),HostBuild[Recommended NAS (GB)])+HostBuild[Additional NAS (GB)]</f>
        <v>0</v>
      </c>
      <c r="BV131" s="50"/>
      <c r="BW131" s="50"/>
      <c r="BX131" s="133">
        <f>IFERROR((HostBuild[SAN (GB)
End-State
DO NOT USE TO BUILD]+HostBuild[SAN (GB) Shared])*25%,"")</f>
        <v>202.20000000000002</v>
      </c>
      <c r="BY131" s="113">
        <f>IFERROR(HostBuild[Archive
Full (GB)]*15%,"")</f>
        <v>30.330000000000002</v>
      </c>
      <c r="BZ131" s="51"/>
      <c r="CA131" s="51"/>
      <c r="CB131" s="52"/>
      <c r="CC131" s="53"/>
      <c r="CD131" s="52"/>
      <c r="CE131" s="54"/>
      <c r="CF131" s="128"/>
      <c r="CG131" s="114"/>
      <c r="CH131" s="55"/>
      <c r="CI131" s="56"/>
      <c r="CJ131" s="123" t="s">
        <v>13</v>
      </c>
      <c r="CK131" s="58"/>
      <c r="CL131" s="59">
        <f>IFERROR(IF(FIND(CL$1,$W131)&gt;0,IF(INDEX([1]!Product_Pricing_Table[#Data],MATCH(CL$1,Products,0),2)="Cores",IF(HostBuild[Use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1" s="59">
        <f>IFERROR(IF(FIND(CM$1,$W131)&gt;0,IF(INDEX([1]!Product_Pricing_Table[#Data],MATCH(CM$1,Products,0),2)="Cores",IF(HostBuild[Use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1" s="59">
        <f>IFERROR(IF(FIND(CN$1,$W131)&gt;0,IF(INDEX([1]!Product_Pricing_Table[#Data],MATCH(CN$1,Products,0),2)="Cores",IF(HostBuild[Use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1" s="59">
        <f>IFERROR(IF(FIND(CO$1,$W131)&gt;0,IF(INDEX([1]!Product_Pricing_Table[#Data],MATCH(CO$1,Products,0),2)="Cores",IF(HostBuild[Use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1" s="59">
        <f>IFERROR(IF(FIND(CP$1,$W131)&gt;0,IF(INDEX([1]!Product_Pricing_Table[#Data],MATCH(CP$1,Products,0),2)="Cores",IF(HostBuild[Use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1" s="59">
        <f>IFERROR(IF(FIND(CQ$1,$W131)&gt;0,IF(INDEX([1]!Product_Pricing_Table[#Data],MATCH(CQ$1,Products,0),2)="Cores",IF(HostBuild[Use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1" s="59">
        <f>IFERROR(IF(FIND(CR$1,$W131)&gt;0,IF(INDEX([1]!Product_Pricing_Table[#Data],MATCH(CR$1,Products,0),2)="Cores",IF(HostBuild[Use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1" s="59">
        <f>IFERROR(IF(FIND(CS$1,$W131)&gt;0,IF(INDEX([1]!Product_Pricing_Table[#Data],MATCH(CS$1,Products,0),2)="Cores",IF(HostBuild[Use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1" s="59">
        <f>IFERROR(IF(FIND(CT$1,$W131)&gt;0,IF(INDEX([1]!Product_Pricing_Table[#Data],MATCH(CT$1,Products,0),2)="Cores",IF(HostBuild[Use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1" s="59">
        <f>IFERROR(IF(FIND(CU$1,$W131)&gt;0,IF(INDEX([1]!Product_Pricing_Table[#Data],MATCH(CU$1,Products,0),2)="Cores",IF(HostBuild[Use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1" s="59">
        <f>IFERROR(IF(FIND(CV$1,$W131)&gt;0,IF(INDEX([1]!Product_Pricing_Table[#Data],MATCH(CV$1,Products,0),2)="Cores",IF(HostBuild[Use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1" s="59">
        <f>IFERROR(IF(FIND(CW$1,$W131)&gt;0,IF(INDEX([1]!Product_Pricing_Table[#Data],MATCH(CW$1,Products,0),2)="Cores",IF(HostBuild[Use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1" s="59">
        <f>IFERROR(IF(FIND(CX$1,$W131)&gt;0,IF(INDEX([1]!Product_Pricing_Table[#Data],MATCH(CX$1,Products,0),2)="Cores",IF(HostBuild[Use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1" s="59">
        <f>IFERROR(IF(FIND(CY$1,$W131)&gt;0,IF(INDEX([1]!Product_Pricing_Table[#Data],MATCH(CY$1,Products,0),2)="Cores",IF(HostBuild[Use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1" s="59">
        <f>IFERROR(IF(FIND(CZ$1,$W131)&gt;0,IF(INDEX([1]!Product_Pricing_Table[#Data],MATCH(CZ$1,Products,0),2)="Cores",IF(HostBuild[Use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1" s="59">
        <f>IFERROR(IF(FIND(DA$1,$W131)&gt;0,IF(INDEX([1]!Product_Pricing_Table[#Data],MATCH(DA$1,Products,0),2)="Cores",IF(HostBuild[Use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1" s="59">
        <f>IFERROR(IF(FIND(DB$1,$W131)&gt;0,IF(INDEX([1]!Product_Pricing_Table[#Data],MATCH(DB$1,Products,0),2)="Cores",IF(HostBuild[Use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1" s="59">
        <f>IFERROR(IF(FIND(DC$1,$W131)&gt;0,IF(INDEX([1]!Product_Pricing_Table[#Data],MATCH(DC$1,Products,0),2)="Cores",IF(HostBuild[Use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1" s="59">
        <f>IFERROR(IF(FIND(DD$1,$W131)&gt;0,IF(INDEX([1]!Product_Pricing_Table[#Data],MATCH(DD$1,Products,0),2)="Cores",IF(HostBuild[Use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1" s="59">
        <f>IFERROR(IF(FIND(DE$1,$W131)&gt;0,IF(INDEX([1]!Product_Pricing_Table[#Data],MATCH(DE$1,Products,0),2)="Cores",IF(HostBuild[Use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1" s="60">
        <f>IFERROR(IF(FIND(DF$1,$W131)&gt;0,IF(INDEX([1]!Product_Pricing_Table[#Data],MATCH(DF$1,Products,0),2)="Cores",IF(HostBuild[Use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1" s="60">
        <f>IFERROR(IF(FIND(DG$1,$W131)&gt;0,IF(INDEX([1]!Product_Pricing_Table[#Data],MATCH(DG$1,Products,0),2)="Cores",IF(HostBuild[Use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1" s="59">
        <f>IFERROR(IF(FIND(DH$1,$W131)&gt;0,IF(INDEX([1]!Product_Pricing_Table[#Data],MATCH(DH$1,Products,0),2)="Cores",IF(HostBuild[Use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1" s="60">
        <f>IFERROR(IF(FIND(DI$1,$W131)&gt;0,IF(INDEX([1]!Product_Pricing_Table[#Data],MATCH(DI$1,Products,0),2)="Cores",IF(HostBuild[Use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1" s="59">
        <f>IFERROR(IF(FIND(DJ$1,$W131)&gt;0,IF(INDEX([1]!Product_Pricing_Table[#Data],MATCH(DJ$1,Products,0),2)="Cores",IF(HostBuild[Use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1" s="59">
        <f>IFERROR(IF(FIND(DK$1,$W131)&gt;0,IF(INDEX([1]!Product_Pricing_Table[#Data],MATCH(DK$1,Products,0),2)="Cores",IF(HostBuild[Use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1" s="59">
        <f>IFERROR(IF(FIND(DL$1,$W131)&gt;0,IF(INDEX([1]!Product_Pricing_Table[#Data],MATCH(DL$1,Products,0),2)="Cores",IF(HostBuild[Use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1" s="59">
        <f>IFERROR(IF(FIND(DM$1,$W131)&gt;0,IF(INDEX([1]!Product_Pricing_Table[#Data],MATCH(DM$1,Products,0),2)="Cores",IF(HostBuild[Use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1" s="59">
        <f>IFERROR(IF(FIND(DN$1,$W131)&gt;0,IF(INDEX([1]!Product_Pricing_Table[#Data],MATCH(DN$1,Products,0),2)="Cores",IF(HostBuild[Use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1" s="59">
        <f>IFERROR(IF(FIND(DO$1,$W131)&gt;0,IF(INDEX([1]!Product_Pricing_Table[#Data],MATCH(DO$1,Products,0),2)="Cores",IF(HostBuild[Use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1" s="59">
        <f>IFERROR(IF(FIND(DP$1,$W131)&gt;0,IF(INDEX([1]!Product_Pricing_Table[#Data],MATCH(DP$1,Products,0),2)="Cores",IF(HostBuild[Use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1" s="59">
        <f>IFERROR(IF(FIND(DQ$1,$W131)&gt;0,IF(INDEX([1]!Product_Pricing_Table[#Data],MATCH(DQ$1,Products,0),2)="Cores",IF(HostBuild[Use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1" s="59">
        <f>IFERROR(IF(FIND(DR$1,$W131)&gt;0,IF(INDEX([1]!Product_Pricing_Table[#Data],MATCH(DR$1,Products,0),2)="Cores",IF(HostBuild[Use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1" s="59">
        <f>IFERROR(IF(FIND(DS$1,$W131)&gt;0,IF(INDEX([1]!Product_Pricing_Table[#Data],MATCH(DS$1,Products,0),2)="Cores",IF(HostBuild[Use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1" s="59">
        <f>IFERROR(IF(FIND(DT$1,$W131)&gt;0,IF(INDEX([1]!Product_Pricing_Table[#Data],MATCH(DT$1,Products,0),2)="Cores",IF(HostBuild[Use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1" s="59">
        <f>IFERROR(IF(FIND(DU$1,$W131)&gt;0,IF(INDEX([1]!Product_Pricing_Table[#Data],MATCH(DU$1,Products,0),2)="Cores",IF(HostBuild[Use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1" s="59">
        <f>IFERROR(IF(FIND(DV$1,$W131)&gt;0,IF(INDEX([1]!Product_Pricing_Table[#Data],MATCH(DV$1,Products,0),2)="Cores",IF(HostBuild[Use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31" s="59">
        <f>IFERROR(IF(FIND(DW$1,$W131)&gt;0,IF(INDEX([1]!Product_Pricing_Table[#Data],MATCH(DW$1,Products,0),2)="Cores",IF(HostBuild[Use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1" s="59">
        <f>IFERROR(IF(FIND(DX$1,$W131)&gt;0,IF(INDEX([1]!Product_Pricing_Table[#Data],MATCH(DX$1,Products,0),2)="Cores",IF(HostBuild[Use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1" s="59">
        <f>IFERROR(IF(FIND(DY$1,$W131)&gt;0,IF(INDEX([1]!Product_Pricing_Table[#Data],MATCH(DY$1,Products,0),2)="Cores",IF(HostBuild[Use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1" s="59">
        <f>IFERROR(IF(FIND(DZ$1,$W131)&gt;0,IF(INDEX([1]!Product_Pricing_Table[#Data],MATCH(DZ$1,Products,0),2)="Cores",IF(HostBuild[Use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1" s="59">
        <f>IFERROR(IF(FIND(EA$1,$W131)&gt;0,IF(INDEX([1]!Product_Pricing_Table[#Data],MATCH(EA$1,Products,0),2)="Cores",IF(HostBuild[Use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1" s="59">
        <f>IFERROR(IF(FIND(EB$1,$W131)&gt;0,IF(INDEX([1]!Product_Pricing_Table[#Data],MATCH(EB$1,Products,0),2)="Cores",IF(HostBuild[Use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1" s="60">
        <f>IFERROR(IF(FIND(EC$1,$W131)&gt;0,IF(INDEX([1]!Product_Pricing_Table[#Data],MATCH(EC$1,Products,0),2)="Cores",IF(HostBuild[Use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1" s="59">
        <f>IFERROR(IF(FIND(ED$1,$W131)&gt;0,IF(INDEX([1]!Product_Pricing_Table[#Data],MATCH(ED$1,Products,0),2)="Cores",IF(HostBuild[Use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1" s="59">
        <f>IFERROR(IF(FIND(EE$1,$W131)&gt;0,IF(INDEX([1]!Product_Pricing_Table[#Data],MATCH(EE$1,Products,0),2)="Cores",IF(HostBuild[Use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1" s="59">
        <f>IFERROR(IF(FIND(EF$1,$W131)&gt;0,IF(INDEX([1]!Product_Pricing_Table[#Data],MATCH(EF$1,Products,0),2)="Cores",IF(HostBuild[Use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1" s="59">
        <f>IFERROR(IF(FIND(EG$1,$W131)&gt;0,IF(INDEX([1]!Product_Pricing_Table[#Data],MATCH(EG$1,Products,0),2)="Cores",IF(HostBuild[Use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1" s="59">
        <f>IFERROR(IF(FIND(EH$1,$W131)&gt;0,IF(INDEX([1]!Product_Pricing_Table[#Data],MATCH(EH$1,Products,0),2)="Cores",IF(HostBuild[Use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1" s="59">
        <f>IFERROR(IF(FIND(EI$1,$W131)&gt;0,IF(INDEX([1]!Product_Pricing_Table[#Data],MATCH(EI$1,Products,0),2)="Cores",IF(HostBuild[Use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1" s="59">
        <f>IFERROR(IF(FIND(EJ$1,$W131)&gt;0,IF(INDEX([1]!Product_Pricing_Table[#Data],MATCH(EJ$1,Products,0),2)="Cores",IF(HostBuild[Use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1" s="60">
        <f>IFERROR(IF(FIND(EK$1,$W131)&gt;0,IF(INDEX([1]!Product_Pricing_Table[#Data],MATCH(EK$1,Products,0),2)="Cores",IF(HostBuild[Use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1" s="61"/>
      <c r="EM131" s="62">
        <v>0</v>
      </c>
      <c r="EN131" s="63">
        <v>0</v>
      </c>
      <c r="EO131"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31" s="132">
        <f>(HostBuild[Archive
Full (GB)]+HostBuild[Archive
Incr (GB)])*Storage_DC_Dist_Tape_2014</f>
        <v>81.385500000000008</v>
      </c>
      <c r="ER131" s="132">
        <f>IF(ISNUMBER(HostBuild[Server HW Costs
(Monthly)]),SUM(HostBuild[[#This Row],[Server HW Costs
(Monthly)]:[Tape Costs
(Monthly)]]),0)</f>
        <v>1334.0455000000002</v>
      </c>
      <c r="ES131" s="65">
        <f>HostBuild[Software Costs
'[Year 1']
(Monthly)]+HostBuild[Total Hardware Costs
(Monthly)]</f>
        <v>1334.0455000000002</v>
      </c>
      <c r="ET131" s="65">
        <f>IFERROR(IF(FIND("Safenet",HostBuild[Server Model]),Safenet_PSE_PL600_Maint,0),0)+IFERROR(IF(FIND("XI52",HostBuild[Server Model]),IBM_DIA_XI52_Maint,0),0)+HostBuild[Software Costs
'[After Year 1']
(Monthly)]+HostBuild[Total Hardware Costs
(Monthly)]</f>
        <v>1334.0455000000002</v>
      </c>
      <c r="EU131" s="66">
        <f>SUM(HostBuild[[#This Row],[Server Cost Breakdown]:[Network Cost]])</f>
        <v>888.7</v>
      </c>
      <c r="EV131" s="67">
        <f>IF(HostBuild[Existing Server?]="Yes - Inside this BoM",0,SUMIF(HostBuild[Alias],HostBuild[Alias],HostBuild[CPU])+SUMIF(HostBuild[Alias],HostBuild[Alias],HostBuild[Existing CPUs]))</f>
        <v>2</v>
      </c>
      <c r="EW131" s="67">
        <f>IF(HostBuild[Existing Server?]="Yes - Inside this BoM",0,SUMIF(HostBuild[Alias],HostBuild[Alias],HostBuild[Cores 
(Licensed Units)])+SUMIF(HostBuild[Alias],HostBuild[Alias],HostBuild[Existing Cores]))</f>
        <v>16</v>
      </c>
      <c r="EX131" s="67">
        <f>IF(HostBuild[Existing Server?]="Yes - Inside this BoM",0,SUMIF(HostBuild[Alias],HostBuild[Alias],HostBuild[RAM 
(GB)])+SUMIF(HostBuild[Alias],HostBuild[Alias],HostBuild[Existing RAM (GB)]))</f>
        <v>128</v>
      </c>
      <c r="EY13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1" s="66">
        <f>IF(ISBLANK(HostBuild[Server Model]),0,IF(HostBuild[Server Tier]="VMware",0,VLOOKUP(HostBuild[Server Tier],[1]!ServerTierRates[#Data],2,0))*HostBuild[CPU]*IF(AND(HostBuild[Server Type]="pSeries",HostBuild[Virtual Platform Storage Type]="Cloud-SAN"),0.25,1))</f>
        <v>608</v>
      </c>
      <c r="FD131" s="66">
        <f>0</f>
        <v>0</v>
      </c>
      <c r="FE131" s="66">
        <f>IF(HostBuild[Server Type]="VMware",HostBuild[RAM 
(GB)]*IF(ISERROR(FIND("DevCloud", HostBuild[Server Model])&gt;0),vRAM_per_vCPU_2014_Monthly,vRAM_per_vCPU_2014_Daily*30),0)</f>
        <v>0</v>
      </c>
      <c r="FF13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1" s="69">
        <f>IF(HostBuild[Server Tier]="VMware",0,IF(LEFT(HostBuild[Existing Server?],3)="Yes",0,IF(OR(HostBuild[Server Type]="Sun",HostBuild[Server Type]="pSeries"),Support_Direct_Server_Sun_per_OS_2014,IF(HostBuild[Server Type]="x86",Support_Direct_Server_x86_Wintel_per_OS_2014,0))))</f>
        <v>187.1</v>
      </c>
      <c r="FI13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2" spans="1:165" hidden="1">
      <c r="A132" s="122" t="s">
        <v>53</v>
      </c>
      <c r="B132" s="36"/>
      <c r="C132" s="36"/>
      <c r="D132" s="36"/>
      <c r="E132" s="37"/>
      <c r="F132" s="37"/>
      <c r="G132" s="103"/>
      <c r="H132" s="103"/>
      <c r="I132" s="38"/>
      <c r="J132" s="37"/>
      <c r="K132" s="37"/>
      <c r="L132" s="37"/>
      <c r="M132" s="103" t="e">
        <f ca="1">IF(rngIsDate(HostBuild[CTO Acceptance]),"Y","N")</f>
        <v>#NAME?</v>
      </c>
      <c r="N132" s="123" t="s">
        <v>3</v>
      </c>
      <c r="O132" s="39"/>
      <c r="P132" s="39"/>
      <c r="Q132" s="123" t="s">
        <v>192</v>
      </c>
      <c r="R132" s="126" t="str">
        <f>IF(NOT(ISBLANK(HostBuild[Env Label])),IFERROR(VLOOKUP(HostBuild[Env Label],[1]!tEnv[#Data],3,FALSE),""),"")</f>
        <v/>
      </c>
      <c r="S132" s="104"/>
      <c r="T132" s="40"/>
      <c r="U132" s="105"/>
      <c r="V132" s="123" t="s">
        <v>24</v>
      </c>
      <c r="W132" s="123" t="s">
        <v>191</v>
      </c>
      <c r="X132" s="123" t="s">
        <v>99</v>
      </c>
      <c r="Y132" s="123" t="s">
        <v>188</v>
      </c>
      <c r="Z132" s="126" t="str">
        <f>IF(NOT(ISBLANK(HostBuild[[#This Row],[Product 
(Acronym)]])),CONCATENATE(HostBuild[[#This Row],[Type]],"-",HostBuild[[#This Row],[Product 
(Acronym)]]),"")</f>
        <v>DB-CBOL</v>
      </c>
      <c r="AA132" s="106"/>
      <c r="AB132" s="106" t="s">
        <v>76</v>
      </c>
      <c r="AC132" s="41"/>
      <c r="AD132" s="42"/>
      <c r="AE132" s="42"/>
      <c r="AF132" s="43"/>
      <c r="AG132" s="124"/>
      <c r="AH132" s="107"/>
      <c r="AI132" s="124" t="s">
        <v>201</v>
      </c>
      <c r="AJ132" s="123">
        <f>IF(COUNTIF(HostBuild[Alias],HostBuild[Alias]),1/COUNTIF(HostBuild[Alias],HostBuild[Alias]),0)</f>
        <v>1</v>
      </c>
      <c r="AK132" s="124"/>
      <c r="AL132" s="124"/>
      <c r="AM132" s="44" t="s">
        <v>62</v>
      </c>
      <c r="AN132" s="45" t="str">
        <f>IF(NOT(ISBLANK(HostBuild[Server Model])),VLOOKUP(HostBuild[Server Model],[1]!ServerModelsTier[#Data],2,FALSE),"")</f>
        <v>x86 Tier 3</v>
      </c>
      <c r="AO132" s="45" t="str">
        <f>IF(NOT(ISBLANK(HostBuild[Server Model])),VLOOKUP(HostBuild[Server Model],[1]!ServerModelsTier[#Data],5,FALSE),"")</f>
        <v>x86</v>
      </c>
      <c r="AP132" s="44"/>
      <c r="AQ132" s="44" t="s">
        <v>63</v>
      </c>
      <c r="AR132" s="46">
        <v>2</v>
      </c>
      <c r="AS132" s="108"/>
      <c r="AT132" s="47">
        <v>16</v>
      </c>
      <c r="AU132" s="109" t="str">
        <f>IF(IFERROR(FIND("P-Series",HostBuild[Server Tier]),0),CEILING((HostBuild[Existing CPUs]+HostBuild[CPU])*16,8),"")</f>
        <v/>
      </c>
      <c r="AV132" s="48">
        <v>128</v>
      </c>
      <c r="AW132" s="124"/>
      <c r="AX132" s="124"/>
      <c r="AY132" s="124"/>
      <c r="AZ132" s="49"/>
      <c r="BA132" s="124"/>
      <c r="BB132" s="124"/>
      <c r="BC132" s="42"/>
      <c r="BD132" s="124"/>
      <c r="BE132" s="124"/>
      <c r="BF132" s="124"/>
      <c r="BG132" s="124"/>
      <c r="BH132" s="124"/>
      <c r="BI132" s="124"/>
      <c r="BJ132" s="124"/>
      <c r="BK132"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2" s="127">
        <v>1650</v>
      </c>
      <c r="BM132" s="129">
        <f>IF(ISNUMBER(HostBuild[Recommended SAN (GB)]),HostBuild[Recommended SAN (GB)])+IF(HostBuild[Additional SAN (GB)]&gt;0,CEILING(HostBuild[Additional SAN (GB)],LUN),-(CEILING(-HostBuild[Additional SAN (GB)],LUN)))</f>
        <v>1853.5000000000002</v>
      </c>
      <c r="BN132" s="128"/>
      <c r="BO132" s="129">
        <f>HostBuild[SAN (GB)
NEEDED TODAY]+CEILING(HostBuild[SAN (GB)
RESERVED
DO NOT USE TO BUILD], LUN)</f>
        <v>1853.5000000000002</v>
      </c>
      <c r="BP132" s="130">
        <v>1500</v>
      </c>
      <c r="BQ132" s="131"/>
      <c r="BR132" s="125" t="s">
        <v>76</v>
      </c>
      <c r="BS132" s="110">
        <f>IF(HostBuild[Existing Server?]&lt;&gt;"Yes - Inside this BoM",IF(ISNUMBER(HostBuild[RAM 
(GB)]),IF(HostBuild[Existing RAM (GB)]+HostBuild[RAM 
(GB)]&gt;0,IF(HostBuild[Virtual Platform Storage Type]="NAS",110+HostBuild[Existing RAM (GB)]+HostBuild[RAM 
(GB)]*1.75,0),0),0),0)</f>
        <v>0</v>
      </c>
      <c r="BT132" s="111"/>
      <c r="BU132" s="112">
        <f>IF(ISNUMBER(HostBuild[Recommended NAS (GB)]),HostBuild[Recommended NAS (GB)])+HostBuild[Additional NAS (GB)]</f>
        <v>0</v>
      </c>
      <c r="BV132" s="50"/>
      <c r="BW132" s="50"/>
      <c r="BX132" s="133">
        <f>IFERROR((HostBuild[SAN (GB)
End-State
DO NOT USE TO BUILD]+HostBuild[SAN (GB) Shared])*25%,"")</f>
        <v>838.375</v>
      </c>
      <c r="BY132" s="113">
        <f>IFERROR(HostBuild[Archive
Full (GB)]*15%,"")</f>
        <v>125.75624999999999</v>
      </c>
      <c r="BZ132" s="51"/>
      <c r="CA132" s="51"/>
      <c r="CB132" s="52"/>
      <c r="CC132" s="53"/>
      <c r="CD132" s="52"/>
      <c r="CE132" s="54"/>
      <c r="CF132" s="128"/>
      <c r="CG132" s="114"/>
      <c r="CH132" s="55"/>
      <c r="CI132" s="56"/>
      <c r="CJ132" s="57"/>
      <c r="CK132" s="58"/>
      <c r="CL132" s="59">
        <f>IFERROR(IF(FIND(CL$1,$W132)&gt;0,IF(INDEX([1]!Product_Pricing_Table[#Data],MATCH(CL$1,Products,0),2)="Cores",IF(HostBuild[Use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2" s="59">
        <f>IFERROR(IF(FIND(CM$1,$W132)&gt;0,IF(INDEX([1]!Product_Pricing_Table[#Data],MATCH(CM$1,Products,0),2)="Cores",IF(HostBuild[Use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2" s="59">
        <f>IFERROR(IF(FIND(CN$1,$W132)&gt;0,IF(INDEX([1]!Product_Pricing_Table[#Data],MATCH(CN$1,Products,0),2)="Cores",IF(HostBuild[Use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2" s="59">
        <f>IFERROR(IF(FIND(CO$1,$W132)&gt;0,IF(INDEX([1]!Product_Pricing_Table[#Data],MATCH(CO$1,Products,0),2)="Cores",IF(HostBuild[Use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2" s="59">
        <f>IFERROR(IF(FIND(CP$1,$W132)&gt;0,IF(INDEX([1]!Product_Pricing_Table[#Data],MATCH(CP$1,Products,0),2)="Cores",IF(HostBuild[Use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2" s="59">
        <f>IFERROR(IF(FIND(CQ$1,$W132)&gt;0,IF(INDEX([1]!Product_Pricing_Table[#Data],MATCH(CQ$1,Products,0),2)="Cores",IF(HostBuild[Use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2" s="59">
        <f>IFERROR(IF(FIND(CR$1,$W132)&gt;0,IF(INDEX([1]!Product_Pricing_Table[#Data],MATCH(CR$1,Products,0),2)="Cores",IF(HostBuild[Use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2" s="59">
        <f>IFERROR(IF(FIND(CS$1,$W132)&gt;0,IF(INDEX([1]!Product_Pricing_Table[#Data],MATCH(CS$1,Products,0),2)="Cores",IF(HostBuild[Use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2" s="59">
        <f>IFERROR(IF(FIND(CT$1,$W132)&gt;0,IF(INDEX([1]!Product_Pricing_Table[#Data],MATCH(CT$1,Products,0),2)="Cores",IF(HostBuild[Use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2" s="59">
        <f>IFERROR(IF(FIND(CU$1,$W132)&gt;0,IF(INDEX([1]!Product_Pricing_Table[#Data],MATCH(CU$1,Products,0),2)="Cores",IF(HostBuild[Use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2" s="59">
        <f>IFERROR(IF(FIND(CV$1,$W132)&gt;0,IF(INDEX([1]!Product_Pricing_Table[#Data],MATCH(CV$1,Products,0),2)="Cores",IF(HostBuild[Use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2" s="59">
        <f>IFERROR(IF(FIND(CW$1,$W132)&gt;0,IF(INDEX([1]!Product_Pricing_Table[#Data],MATCH(CW$1,Products,0),2)="Cores",IF(HostBuild[Use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2" s="59">
        <f>IFERROR(IF(FIND(CX$1,$W132)&gt;0,IF(INDEX([1]!Product_Pricing_Table[#Data],MATCH(CX$1,Products,0),2)="Cores",IF(HostBuild[Use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2" s="59">
        <f>IFERROR(IF(FIND(CY$1,$W132)&gt;0,IF(INDEX([1]!Product_Pricing_Table[#Data],MATCH(CY$1,Products,0),2)="Cores",IF(HostBuild[Use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2" s="59">
        <f>IFERROR(IF(FIND(CZ$1,$W132)&gt;0,IF(INDEX([1]!Product_Pricing_Table[#Data],MATCH(CZ$1,Products,0),2)="Cores",IF(HostBuild[Use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2" s="59">
        <f>IFERROR(IF(FIND(DA$1,$W132)&gt;0,IF(INDEX([1]!Product_Pricing_Table[#Data],MATCH(DA$1,Products,0),2)="Cores",IF(HostBuild[Use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2" s="59">
        <f>IFERROR(IF(FIND(DB$1,$W132)&gt;0,IF(INDEX([1]!Product_Pricing_Table[#Data],MATCH(DB$1,Products,0),2)="Cores",IF(HostBuild[Use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2" s="59">
        <f>IFERROR(IF(FIND(DC$1,$W132)&gt;0,IF(INDEX([1]!Product_Pricing_Table[#Data],MATCH(DC$1,Products,0),2)="Cores",IF(HostBuild[Use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2" s="59">
        <f>IFERROR(IF(FIND(DD$1,$W132)&gt;0,IF(INDEX([1]!Product_Pricing_Table[#Data],MATCH(DD$1,Products,0),2)="Cores",IF(HostBuild[Use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2" s="59">
        <f>IFERROR(IF(FIND(DE$1,$W132)&gt;0,IF(INDEX([1]!Product_Pricing_Table[#Data],MATCH(DE$1,Products,0),2)="Cores",IF(HostBuild[Use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2" s="60">
        <f>IFERROR(IF(FIND(DF$1,$W132)&gt;0,IF(INDEX([1]!Product_Pricing_Table[#Data],MATCH(DF$1,Products,0),2)="Cores",IF(HostBuild[Use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2" s="60">
        <f>IFERROR(IF(FIND(DG$1,$W132)&gt;0,IF(INDEX([1]!Product_Pricing_Table[#Data],MATCH(DG$1,Products,0),2)="Cores",IF(HostBuild[Use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2" s="59">
        <f>IFERROR(IF(FIND(DH$1,$W132)&gt;0,IF(INDEX([1]!Product_Pricing_Table[#Data],MATCH(DH$1,Products,0),2)="Cores",IF(HostBuild[Use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2" s="60">
        <f>IFERROR(IF(FIND(DI$1,$W132)&gt;0,IF(INDEX([1]!Product_Pricing_Table[#Data],MATCH(DI$1,Products,0),2)="Cores",IF(HostBuild[Use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2" s="59">
        <f>IFERROR(IF(FIND(DJ$1,$W132)&gt;0,IF(INDEX([1]!Product_Pricing_Table[#Data],MATCH(DJ$1,Products,0),2)="Cores",IF(HostBuild[Use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2" s="59">
        <f>IFERROR(IF(FIND(DK$1,$W132)&gt;0,IF(INDEX([1]!Product_Pricing_Table[#Data],MATCH(DK$1,Products,0),2)="Cores",IF(HostBuild[Use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2" s="59">
        <f>IFERROR(IF(FIND(DL$1,$W132)&gt;0,IF(INDEX([1]!Product_Pricing_Table[#Data],MATCH(DL$1,Products,0),2)="Cores",IF(HostBuild[Use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2" s="59">
        <f>IFERROR(IF(FIND(DM$1,$W132)&gt;0,IF(INDEX([1]!Product_Pricing_Table[#Data],MATCH(DM$1,Products,0),2)="Cores",IF(HostBuild[Use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2" s="59">
        <f>IFERROR(IF(FIND(DN$1,$W132)&gt;0,IF(INDEX([1]!Product_Pricing_Table[#Data],MATCH(DN$1,Products,0),2)="Cores",IF(HostBuild[Use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2" s="59">
        <f>IFERROR(IF(FIND(DO$1,$W132)&gt;0,IF(INDEX([1]!Product_Pricing_Table[#Data],MATCH(DO$1,Products,0),2)="Cores",IF(HostBuild[Use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2" s="59">
        <f>IFERROR(IF(FIND(DP$1,$W132)&gt;0,IF(INDEX([1]!Product_Pricing_Table[#Data],MATCH(DP$1,Products,0),2)="Cores",IF(HostBuild[Use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2" s="59">
        <f>IFERROR(IF(FIND(DQ$1,$W132)&gt;0,IF(INDEX([1]!Product_Pricing_Table[#Data],MATCH(DQ$1,Products,0),2)="Cores",IF(HostBuild[Use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2" s="59">
        <f>IFERROR(IF(FIND(DR$1,$W132)&gt;0,IF(INDEX([1]!Product_Pricing_Table[#Data],MATCH(DR$1,Products,0),2)="Cores",IF(HostBuild[Use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2" s="59">
        <f>IFERROR(IF(FIND(DS$1,$W132)&gt;0,IF(INDEX([1]!Product_Pricing_Table[#Data],MATCH(DS$1,Products,0),2)="Cores",IF(HostBuild[Use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2" s="59">
        <f>IFERROR(IF(FIND(DT$1,$W132)&gt;0,IF(INDEX([1]!Product_Pricing_Table[#Data],MATCH(DT$1,Products,0),2)="Cores",IF(HostBuild[Use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2" s="59">
        <f>IFERROR(IF(FIND(DU$1,$W132)&gt;0,IF(INDEX([1]!Product_Pricing_Table[#Data],MATCH(DU$1,Products,0),2)="Cores",IF(HostBuild[Use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2" s="59">
        <f>IFERROR(IF(FIND(DV$1,$W132)&gt;0,IF(INDEX([1]!Product_Pricing_Table[#Data],MATCH(DV$1,Products,0),2)="Cores",IF(HostBuild[Use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32" s="59">
        <f>IFERROR(IF(FIND(DW$1,$W132)&gt;0,IF(INDEX([1]!Product_Pricing_Table[#Data],MATCH(DW$1,Products,0),2)="Cores",IF(HostBuild[Use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2" s="59">
        <f>IFERROR(IF(FIND(DX$1,$W132)&gt;0,IF(INDEX([1]!Product_Pricing_Table[#Data],MATCH(DX$1,Products,0),2)="Cores",IF(HostBuild[Use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2" s="59">
        <f>IFERROR(IF(FIND(DY$1,$W132)&gt;0,IF(INDEX([1]!Product_Pricing_Table[#Data],MATCH(DY$1,Products,0),2)="Cores",IF(HostBuild[Use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2" s="59">
        <f>IFERROR(IF(FIND(DZ$1,$W132)&gt;0,IF(INDEX([1]!Product_Pricing_Table[#Data],MATCH(DZ$1,Products,0),2)="Cores",IF(HostBuild[Use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2" s="59">
        <f>IFERROR(IF(FIND(EA$1,$W132)&gt;0,IF(INDEX([1]!Product_Pricing_Table[#Data],MATCH(EA$1,Products,0),2)="Cores",IF(HostBuild[Use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2" s="59">
        <f>IFERROR(IF(FIND(EB$1,$W132)&gt;0,IF(INDEX([1]!Product_Pricing_Table[#Data],MATCH(EB$1,Products,0),2)="Cores",IF(HostBuild[Use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2" s="60">
        <f>IFERROR(IF(FIND(EC$1,$W132)&gt;0,IF(INDEX([1]!Product_Pricing_Table[#Data],MATCH(EC$1,Products,0),2)="Cores",IF(HostBuild[Use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2" s="59">
        <f>IFERROR(IF(FIND(ED$1,$W132)&gt;0,IF(INDEX([1]!Product_Pricing_Table[#Data],MATCH(ED$1,Products,0),2)="Cores",IF(HostBuild[Use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2" s="59">
        <f>IFERROR(IF(FIND(EE$1,$W132)&gt;0,IF(INDEX([1]!Product_Pricing_Table[#Data],MATCH(EE$1,Products,0),2)="Cores",IF(HostBuild[Use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2" s="59">
        <f>IFERROR(IF(FIND(EF$1,$W132)&gt;0,IF(INDEX([1]!Product_Pricing_Table[#Data],MATCH(EF$1,Products,0),2)="Cores",IF(HostBuild[Use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2" s="59">
        <f>IFERROR(IF(FIND(EG$1,$W132)&gt;0,IF(INDEX([1]!Product_Pricing_Table[#Data],MATCH(EG$1,Products,0),2)="Cores",IF(HostBuild[Use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2" s="59">
        <f>IFERROR(IF(FIND(EH$1,$W132)&gt;0,IF(INDEX([1]!Product_Pricing_Table[#Data],MATCH(EH$1,Products,0),2)="Cores",IF(HostBuild[Use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2" s="59">
        <f>IFERROR(IF(FIND(EI$1,$W132)&gt;0,IF(INDEX([1]!Product_Pricing_Table[#Data],MATCH(EI$1,Products,0),2)="Cores",IF(HostBuild[Use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2" s="59">
        <f>IFERROR(IF(FIND(EJ$1,$W132)&gt;0,IF(INDEX([1]!Product_Pricing_Table[#Data],MATCH(EJ$1,Products,0),2)="Cores",IF(HostBuild[Use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2" s="60">
        <f>IFERROR(IF(FIND(EK$1,$W132)&gt;0,IF(INDEX([1]!Product_Pricing_Table[#Data],MATCH(EK$1,Products,0),2)="Cores",IF(HostBuild[Use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2" s="61"/>
      <c r="EM132" s="62">
        <v>718.61</v>
      </c>
      <c r="EN132" s="63">
        <v>125.82666666666667</v>
      </c>
      <c r="EO132"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2350.5750000000003</v>
      </c>
      <c r="EQ132" s="132">
        <f>(HostBuild[Archive
Full (GB)]+HostBuild[Archive
Incr (GB)])*Storage_DC_Dist_Tape_2014</f>
        <v>337.44593750000001</v>
      </c>
      <c r="ER132" s="132">
        <f>IF(ISNUMBER(HostBuild[Server HW Costs
(Monthly)]),SUM(HostBuild[[#This Row],[Server HW Costs
(Monthly)]:[Tape Costs
(Monthly)]]),0)</f>
        <v>3576.7209375000007</v>
      </c>
      <c r="ES132" s="65">
        <f>HostBuild[Software Costs
'[Year 1']
(Monthly)]+HostBuild[Total Hardware Costs
(Monthly)]</f>
        <v>4295.3309375000008</v>
      </c>
      <c r="ET132" s="65">
        <f>IFERROR(IF(FIND("Safenet",HostBuild[Server Model]),Safenet_PSE_PL600_Maint,0),0)+IFERROR(IF(FIND("XI52",HostBuild[Server Model]),IBM_DIA_XI52_Maint,0),0)+HostBuild[Software Costs
'[After Year 1']
(Monthly)]+HostBuild[Total Hardware Costs
(Monthly)]</f>
        <v>3702.5476041666675</v>
      </c>
      <c r="EU132" s="66">
        <f>SUM(HostBuild[[#This Row],[Server Cost Breakdown]:[Network Cost]])</f>
        <v>888.7</v>
      </c>
      <c r="EV132" s="67">
        <f>IF(HostBuild[Existing Server?]="Yes - Inside this BoM",0,SUMIF(HostBuild[Alias],HostBuild[Alias],HostBuild[CPU])+SUMIF(HostBuild[Alias],HostBuild[Alias],HostBuild[Existing CPUs]))</f>
        <v>2</v>
      </c>
      <c r="EW132" s="67">
        <f>IF(HostBuild[Existing Server?]="Yes - Inside this BoM",0,SUMIF(HostBuild[Alias],HostBuild[Alias],HostBuild[Cores 
(Licensed Units)])+SUMIF(HostBuild[Alias],HostBuild[Alias],HostBuild[Existing Cores]))</f>
        <v>16</v>
      </c>
      <c r="EX132" s="67">
        <f>IF(HostBuild[Existing Server?]="Yes - Inside this BoM",0,SUMIF(HostBuild[Alias],HostBuild[Alias],HostBuild[RAM 
(GB)])+SUMIF(HostBuild[Alias],HostBuild[Alias],HostBuild[Existing RAM (GB)]))</f>
        <v>128</v>
      </c>
      <c r="EY13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2" s="66">
        <f>IF(ISBLANK(HostBuild[Server Model]),0,IF(HostBuild[Server Tier]="VMware",0,VLOOKUP(HostBuild[Server Tier],[1]!ServerTierRates[#Data],2,0))*HostBuild[CPU]*IF(AND(HostBuild[Server Type]="pSeries",HostBuild[Virtual Platform Storage Type]="Cloud-SAN"),0.25,1))</f>
        <v>608</v>
      </c>
      <c r="FD132" s="66">
        <f>0</f>
        <v>0</v>
      </c>
      <c r="FE132" s="66">
        <f>IF(HostBuild[Server Type]="VMware",HostBuild[RAM 
(GB)]*IF(ISERROR(FIND("DevCloud", HostBuild[Server Model])&gt;0),vRAM_per_vCPU_2014_Monthly,vRAM_per_vCPU_2014_Daily*30),0)</f>
        <v>0</v>
      </c>
      <c r="FF13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2" s="69">
        <f>IF(HostBuild[Server Tier]="VMware",0,IF(LEFT(HostBuild[Existing Server?],3)="Yes",0,IF(OR(HostBuild[Server Type]="Sun",HostBuild[Server Type]="pSeries"),Support_Direct_Server_Sun_per_OS_2014,IF(HostBuild[Server Type]="x86",Support_Direct_Server_x86_Wintel_per_OS_2014,0))))</f>
        <v>187.1</v>
      </c>
      <c r="FI13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3" spans="1:165" hidden="1">
      <c r="A133" s="122" t="s">
        <v>53</v>
      </c>
      <c r="B133" s="36"/>
      <c r="C133" s="36"/>
      <c r="D133" s="36"/>
      <c r="E133" s="37"/>
      <c r="F133" s="37"/>
      <c r="G133" s="103"/>
      <c r="H133" s="103"/>
      <c r="I133" s="38"/>
      <c r="J133" s="37"/>
      <c r="K133" s="37"/>
      <c r="L133" s="37"/>
      <c r="M133" s="103" t="e">
        <f ca="1">IF(rngIsDate(HostBuild[CTO Acceptance]),"Y","N")</f>
        <v>#NAME?</v>
      </c>
      <c r="N133" s="123" t="s">
        <v>3</v>
      </c>
      <c r="O133" s="39"/>
      <c r="P133" s="39"/>
      <c r="Q133" s="123" t="s">
        <v>192</v>
      </c>
      <c r="R133" s="126" t="str">
        <f>IF(NOT(ISBLANK(HostBuild[Env Label])),IFERROR(VLOOKUP(HostBuild[Env Label],[1]!tEnv[#Data],3,FALSE),""),"")</f>
        <v/>
      </c>
      <c r="S133" s="104"/>
      <c r="T133" s="40"/>
      <c r="U133" s="105"/>
      <c r="V133" s="123" t="s">
        <v>24</v>
      </c>
      <c r="W133" s="123" t="s">
        <v>191</v>
      </c>
      <c r="X133" s="123" t="s">
        <v>99</v>
      </c>
      <c r="Y133" s="123" t="s">
        <v>188</v>
      </c>
      <c r="Z133" s="126" t="str">
        <f>IF(NOT(ISBLANK(HostBuild[[#This Row],[Product 
(Acronym)]])),CONCATENATE(HostBuild[[#This Row],[Type]],"-",HostBuild[[#This Row],[Product 
(Acronym)]]),"")</f>
        <v>DB-CBOL</v>
      </c>
      <c r="AA133" s="106"/>
      <c r="AB133" s="106" t="s">
        <v>76</v>
      </c>
      <c r="AC133" s="41"/>
      <c r="AD133" s="42"/>
      <c r="AE133" s="42"/>
      <c r="AF133" s="43"/>
      <c r="AG133" s="124"/>
      <c r="AH133" s="107"/>
      <c r="AI133" s="124" t="s">
        <v>202</v>
      </c>
      <c r="AJ133" s="123">
        <f>IF(COUNTIF(HostBuild[Alias],HostBuild[Alias]),1/COUNTIF(HostBuild[Alias],HostBuild[Alias]),0)</f>
        <v>1</v>
      </c>
      <c r="AK133" s="124"/>
      <c r="AL133" s="124"/>
      <c r="AM133" s="44" t="s">
        <v>62</v>
      </c>
      <c r="AN133" s="45" t="str">
        <f>IF(NOT(ISBLANK(HostBuild[Server Model])),VLOOKUP(HostBuild[Server Model],[1]!ServerModelsTier[#Data],2,FALSE),"")</f>
        <v>x86 Tier 3</v>
      </c>
      <c r="AO133" s="45" t="str">
        <f>IF(NOT(ISBLANK(HostBuild[Server Model])),VLOOKUP(HostBuild[Server Model],[1]!ServerModelsTier[#Data],5,FALSE),"")</f>
        <v>x86</v>
      </c>
      <c r="AP133" s="44"/>
      <c r="AQ133" s="44" t="s">
        <v>63</v>
      </c>
      <c r="AR133" s="46">
        <v>2</v>
      </c>
      <c r="AS133" s="108"/>
      <c r="AT133" s="47">
        <v>16</v>
      </c>
      <c r="AU133" s="109" t="str">
        <f>IF(IFERROR(FIND("P-Series",HostBuild[Server Tier]),0),CEILING((HostBuild[Existing CPUs]+HostBuild[CPU])*16,8),"")</f>
        <v/>
      </c>
      <c r="AV133" s="48">
        <v>128</v>
      </c>
      <c r="AW133" s="124"/>
      <c r="AX133" s="124"/>
      <c r="AY133" s="124"/>
      <c r="AZ133" s="49"/>
      <c r="BA133" s="124"/>
      <c r="BB133" s="124"/>
      <c r="BC133" s="42"/>
      <c r="BD133" s="124"/>
      <c r="BE133" s="124"/>
      <c r="BF133" s="124"/>
      <c r="BG133" s="124"/>
      <c r="BH133" s="124"/>
      <c r="BI133" s="124"/>
      <c r="BJ133" s="124"/>
      <c r="BK133"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3" s="127">
        <v>150</v>
      </c>
      <c r="BM133" s="129">
        <f>IF(ISNUMBER(HostBuild[Recommended SAN (GB)]),HostBuild[Recommended SAN (GB)])+IF(HostBuild[Additional SAN (GB)]&gt;0,CEILING(HostBuild[Additional SAN (GB)],LUN),-(CEILING(-HostBuild[Additional SAN (GB)],LUN)))</f>
        <v>370.70000000000005</v>
      </c>
      <c r="BN133" s="128"/>
      <c r="BO133" s="129">
        <f>HostBuild[SAN (GB)
NEEDED TODAY]+CEILING(HostBuild[SAN (GB)
RESERVED
DO NOT USE TO BUILD], LUN)</f>
        <v>370.70000000000005</v>
      </c>
      <c r="BP133" s="130"/>
      <c r="BQ133" s="131"/>
      <c r="BR133" s="125" t="s">
        <v>76</v>
      </c>
      <c r="BS133" s="110">
        <f>IF(HostBuild[Existing Server?]&lt;&gt;"Yes - Inside this BoM",IF(ISNUMBER(HostBuild[RAM 
(GB)]),IF(HostBuild[Existing RAM (GB)]+HostBuild[RAM 
(GB)]&gt;0,IF(HostBuild[Virtual Platform Storage Type]="NAS",110+HostBuild[Existing RAM (GB)]+HostBuild[RAM 
(GB)]*1.75,0),0),0),0)</f>
        <v>0</v>
      </c>
      <c r="BT133" s="111"/>
      <c r="BU133" s="112">
        <f>IF(ISNUMBER(HostBuild[Recommended NAS (GB)]),HostBuild[Recommended NAS (GB)])+HostBuild[Additional NAS (GB)]</f>
        <v>0</v>
      </c>
      <c r="BV133" s="50"/>
      <c r="BW133" s="50"/>
      <c r="BX133" s="133">
        <f>IFERROR((HostBuild[SAN (GB)
End-State
DO NOT USE TO BUILD]+HostBuild[SAN (GB) Shared])*25%,"")</f>
        <v>92.675000000000011</v>
      </c>
      <c r="BY133" s="113">
        <f>IFERROR(HostBuild[Archive
Full (GB)]*15%,"")</f>
        <v>13.901250000000001</v>
      </c>
      <c r="BZ133" s="51"/>
      <c r="CA133" s="51"/>
      <c r="CB133" s="52"/>
      <c r="CC133" s="53"/>
      <c r="CD133" s="52"/>
      <c r="CE133" s="54"/>
      <c r="CF133" s="128"/>
      <c r="CG133" s="114"/>
      <c r="CH133" s="55"/>
      <c r="CI133" s="56"/>
      <c r="CJ133" s="57"/>
      <c r="CK133" s="58"/>
      <c r="CL133" s="59">
        <f>IFERROR(IF(FIND(CL$1,$W133)&gt;0,IF(INDEX([1]!Product_Pricing_Table[#Data],MATCH(CL$1,Products,0),2)="Cores",IF(HostBuild[Use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3" s="59">
        <f>IFERROR(IF(FIND(CM$1,$W133)&gt;0,IF(INDEX([1]!Product_Pricing_Table[#Data],MATCH(CM$1,Products,0),2)="Cores",IF(HostBuild[Use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3" s="59">
        <f>IFERROR(IF(FIND(CN$1,$W133)&gt;0,IF(INDEX([1]!Product_Pricing_Table[#Data],MATCH(CN$1,Products,0),2)="Cores",IF(HostBuild[Use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3" s="59">
        <f>IFERROR(IF(FIND(CO$1,$W133)&gt;0,IF(INDEX([1]!Product_Pricing_Table[#Data],MATCH(CO$1,Products,0),2)="Cores",IF(HostBuild[Use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3" s="59">
        <f>IFERROR(IF(FIND(CP$1,$W133)&gt;0,IF(INDEX([1]!Product_Pricing_Table[#Data],MATCH(CP$1,Products,0),2)="Cores",IF(HostBuild[Use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3" s="59">
        <f>IFERROR(IF(FIND(CQ$1,$W133)&gt;0,IF(INDEX([1]!Product_Pricing_Table[#Data],MATCH(CQ$1,Products,0),2)="Cores",IF(HostBuild[Use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3" s="59">
        <f>IFERROR(IF(FIND(CR$1,$W133)&gt;0,IF(INDEX([1]!Product_Pricing_Table[#Data],MATCH(CR$1,Products,0),2)="Cores",IF(HostBuild[Use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3" s="59">
        <f>IFERROR(IF(FIND(CS$1,$W133)&gt;0,IF(INDEX([1]!Product_Pricing_Table[#Data],MATCH(CS$1,Products,0),2)="Cores",IF(HostBuild[Use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3" s="59">
        <f>IFERROR(IF(FIND(CT$1,$W133)&gt;0,IF(INDEX([1]!Product_Pricing_Table[#Data],MATCH(CT$1,Products,0),2)="Cores",IF(HostBuild[Use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3" s="59">
        <f>IFERROR(IF(FIND(CU$1,$W133)&gt;0,IF(INDEX([1]!Product_Pricing_Table[#Data],MATCH(CU$1,Products,0),2)="Cores",IF(HostBuild[Use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3" s="59">
        <f>IFERROR(IF(FIND(CV$1,$W133)&gt;0,IF(INDEX([1]!Product_Pricing_Table[#Data],MATCH(CV$1,Products,0),2)="Cores",IF(HostBuild[Use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3" s="59">
        <f>IFERROR(IF(FIND(CW$1,$W133)&gt;0,IF(INDEX([1]!Product_Pricing_Table[#Data],MATCH(CW$1,Products,0),2)="Cores",IF(HostBuild[Use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3" s="59">
        <f>IFERROR(IF(FIND(CX$1,$W133)&gt;0,IF(INDEX([1]!Product_Pricing_Table[#Data],MATCH(CX$1,Products,0),2)="Cores",IF(HostBuild[Use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3" s="59">
        <f>IFERROR(IF(FIND(CY$1,$W133)&gt;0,IF(INDEX([1]!Product_Pricing_Table[#Data],MATCH(CY$1,Products,0),2)="Cores",IF(HostBuild[Use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3" s="59">
        <f>IFERROR(IF(FIND(CZ$1,$W133)&gt;0,IF(INDEX([1]!Product_Pricing_Table[#Data],MATCH(CZ$1,Products,0),2)="Cores",IF(HostBuild[Use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3" s="59">
        <f>IFERROR(IF(FIND(DA$1,$W133)&gt;0,IF(INDEX([1]!Product_Pricing_Table[#Data],MATCH(DA$1,Products,0),2)="Cores",IF(HostBuild[Use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3" s="59">
        <f>IFERROR(IF(FIND(DB$1,$W133)&gt;0,IF(INDEX([1]!Product_Pricing_Table[#Data],MATCH(DB$1,Products,0),2)="Cores",IF(HostBuild[Use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3" s="59">
        <f>IFERROR(IF(FIND(DC$1,$W133)&gt;0,IF(INDEX([1]!Product_Pricing_Table[#Data],MATCH(DC$1,Products,0),2)="Cores",IF(HostBuild[Use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3" s="59">
        <f>IFERROR(IF(FIND(DD$1,$W133)&gt;0,IF(INDEX([1]!Product_Pricing_Table[#Data],MATCH(DD$1,Products,0),2)="Cores",IF(HostBuild[Use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3" s="59">
        <f>IFERROR(IF(FIND(DE$1,$W133)&gt;0,IF(INDEX([1]!Product_Pricing_Table[#Data],MATCH(DE$1,Products,0),2)="Cores",IF(HostBuild[Use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3" s="60">
        <f>IFERROR(IF(FIND(DF$1,$W133)&gt;0,IF(INDEX([1]!Product_Pricing_Table[#Data],MATCH(DF$1,Products,0),2)="Cores",IF(HostBuild[Use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3" s="60">
        <f>IFERROR(IF(FIND(DG$1,$W133)&gt;0,IF(INDEX([1]!Product_Pricing_Table[#Data],MATCH(DG$1,Products,0),2)="Cores",IF(HostBuild[Use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3" s="59">
        <f>IFERROR(IF(FIND(DH$1,$W133)&gt;0,IF(INDEX([1]!Product_Pricing_Table[#Data],MATCH(DH$1,Products,0),2)="Cores",IF(HostBuild[Use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3" s="60">
        <f>IFERROR(IF(FIND(DI$1,$W133)&gt;0,IF(INDEX([1]!Product_Pricing_Table[#Data],MATCH(DI$1,Products,0),2)="Cores",IF(HostBuild[Use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3" s="59">
        <f>IFERROR(IF(FIND(DJ$1,$W133)&gt;0,IF(INDEX([1]!Product_Pricing_Table[#Data],MATCH(DJ$1,Products,0),2)="Cores",IF(HostBuild[Use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3" s="59">
        <f>IFERROR(IF(FIND(DK$1,$W133)&gt;0,IF(INDEX([1]!Product_Pricing_Table[#Data],MATCH(DK$1,Products,0),2)="Cores",IF(HostBuild[Use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3" s="59">
        <f>IFERROR(IF(FIND(DL$1,$W133)&gt;0,IF(INDEX([1]!Product_Pricing_Table[#Data],MATCH(DL$1,Products,0),2)="Cores",IF(HostBuild[Use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3" s="59">
        <f>IFERROR(IF(FIND(DM$1,$W133)&gt;0,IF(INDEX([1]!Product_Pricing_Table[#Data],MATCH(DM$1,Products,0),2)="Cores",IF(HostBuild[Use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3" s="59">
        <f>IFERROR(IF(FIND(DN$1,$W133)&gt;0,IF(INDEX([1]!Product_Pricing_Table[#Data],MATCH(DN$1,Products,0),2)="Cores",IF(HostBuild[Use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3" s="59">
        <f>IFERROR(IF(FIND(DO$1,$W133)&gt;0,IF(INDEX([1]!Product_Pricing_Table[#Data],MATCH(DO$1,Products,0),2)="Cores",IF(HostBuild[Use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3" s="59">
        <f>IFERROR(IF(FIND(DP$1,$W133)&gt;0,IF(INDEX([1]!Product_Pricing_Table[#Data],MATCH(DP$1,Products,0),2)="Cores",IF(HostBuild[Use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3" s="59">
        <f>IFERROR(IF(FIND(DQ$1,$W133)&gt;0,IF(INDEX([1]!Product_Pricing_Table[#Data],MATCH(DQ$1,Products,0),2)="Cores",IF(HostBuild[Use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3" s="59">
        <f>IFERROR(IF(FIND(DR$1,$W133)&gt;0,IF(INDEX([1]!Product_Pricing_Table[#Data],MATCH(DR$1,Products,0),2)="Cores",IF(HostBuild[Use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3" s="59">
        <f>IFERROR(IF(FIND(DS$1,$W133)&gt;0,IF(INDEX([1]!Product_Pricing_Table[#Data],MATCH(DS$1,Products,0),2)="Cores",IF(HostBuild[Use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3" s="59">
        <f>IFERROR(IF(FIND(DT$1,$W133)&gt;0,IF(INDEX([1]!Product_Pricing_Table[#Data],MATCH(DT$1,Products,0),2)="Cores",IF(HostBuild[Use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3" s="59">
        <f>IFERROR(IF(FIND(DU$1,$W133)&gt;0,IF(INDEX([1]!Product_Pricing_Table[#Data],MATCH(DU$1,Products,0),2)="Cores",IF(HostBuild[Use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3" s="59">
        <f>IFERROR(IF(FIND(DV$1,$W133)&gt;0,IF(INDEX([1]!Product_Pricing_Table[#Data],MATCH(DV$1,Products,0),2)="Cores",IF(HostBuild[Use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33" s="59">
        <f>IFERROR(IF(FIND(DW$1,$W133)&gt;0,IF(INDEX([1]!Product_Pricing_Table[#Data],MATCH(DW$1,Products,0),2)="Cores",IF(HostBuild[Use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3" s="59">
        <f>IFERROR(IF(FIND(DX$1,$W133)&gt;0,IF(INDEX([1]!Product_Pricing_Table[#Data],MATCH(DX$1,Products,0),2)="Cores",IF(HostBuild[Use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3" s="59">
        <f>IFERROR(IF(FIND(DY$1,$W133)&gt;0,IF(INDEX([1]!Product_Pricing_Table[#Data],MATCH(DY$1,Products,0),2)="Cores",IF(HostBuild[Use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3" s="59">
        <f>IFERROR(IF(FIND(DZ$1,$W133)&gt;0,IF(INDEX([1]!Product_Pricing_Table[#Data],MATCH(DZ$1,Products,0),2)="Cores",IF(HostBuild[Use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3" s="59">
        <f>IFERROR(IF(FIND(EA$1,$W133)&gt;0,IF(INDEX([1]!Product_Pricing_Table[#Data],MATCH(EA$1,Products,0),2)="Cores",IF(HostBuild[Use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3" s="59">
        <f>IFERROR(IF(FIND(EB$1,$W133)&gt;0,IF(INDEX([1]!Product_Pricing_Table[#Data],MATCH(EB$1,Products,0),2)="Cores",IF(HostBuild[Use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3" s="60">
        <f>IFERROR(IF(FIND(EC$1,$W133)&gt;0,IF(INDEX([1]!Product_Pricing_Table[#Data],MATCH(EC$1,Products,0),2)="Cores",IF(HostBuild[Use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3" s="59">
        <f>IFERROR(IF(FIND(ED$1,$W133)&gt;0,IF(INDEX([1]!Product_Pricing_Table[#Data],MATCH(ED$1,Products,0),2)="Cores",IF(HostBuild[Use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3" s="59">
        <f>IFERROR(IF(FIND(EE$1,$W133)&gt;0,IF(INDEX([1]!Product_Pricing_Table[#Data],MATCH(EE$1,Products,0),2)="Cores",IF(HostBuild[Use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3" s="59">
        <f>IFERROR(IF(FIND(EF$1,$W133)&gt;0,IF(INDEX([1]!Product_Pricing_Table[#Data],MATCH(EF$1,Products,0),2)="Cores",IF(HostBuild[Use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3" s="59">
        <f>IFERROR(IF(FIND(EG$1,$W133)&gt;0,IF(INDEX([1]!Product_Pricing_Table[#Data],MATCH(EG$1,Products,0),2)="Cores",IF(HostBuild[Use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3" s="59">
        <f>IFERROR(IF(FIND(EH$1,$W133)&gt;0,IF(INDEX([1]!Product_Pricing_Table[#Data],MATCH(EH$1,Products,0),2)="Cores",IF(HostBuild[Use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3" s="59">
        <f>IFERROR(IF(FIND(EI$1,$W133)&gt;0,IF(INDEX([1]!Product_Pricing_Table[#Data],MATCH(EI$1,Products,0),2)="Cores",IF(HostBuild[Use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3" s="59">
        <f>IFERROR(IF(FIND(EJ$1,$W133)&gt;0,IF(INDEX([1]!Product_Pricing_Table[#Data],MATCH(EJ$1,Products,0),2)="Cores",IF(HostBuild[Use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3" s="60">
        <f>IFERROR(IF(FIND(EK$1,$W133)&gt;0,IF(INDEX([1]!Product_Pricing_Table[#Data],MATCH(EK$1,Products,0),2)="Cores",IF(HostBuild[Use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3" s="61"/>
      <c r="EM133" s="62">
        <v>718.61</v>
      </c>
      <c r="EN133" s="63">
        <v>125.82666666666667</v>
      </c>
      <c r="EO133"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166.81500000000003</v>
      </c>
      <c r="EQ133" s="132">
        <f>(HostBuild[Archive
Full (GB)]+HostBuild[Archive
Incr (GB)])*Storage_DC_Dist_Tape_2014</f>
        <v>37.3016875</v>
      </c>
      <c r="ER133" s="132">
        <f>IF(ISNUMBER(HostBuild[Server HW Costs
(Monthly)]),SUM(HostBuild[[#This Row],[Server HW Costs
(Monthly)]:[Tape Costs
(Monthly)]]),0)</f>
        <v>1092.8166875000002</v>
      </c>
      <c r="ES133" s="65">
        <f>HostBuild[Software Costs
'[Year 1']
(Monthly)]+HostBuild[Total Hardware Costs
(Monthly)]</f>
        <v>1811.4266875000003</v>
      </c>
      <c r="ET133" s="65">
        <f>IFERROR(IF(FIND("Safenet",HostBuild[Server Model]),Safenet_PSE_PL600_Maint,0),0)+IFERROR(IF(FIND("XI52",HostBuild[Server Model]),IBM_DIA_XI52_Maint,0),0)+HostBuild[Software Costs
'[After Year 1']
(Monthly)]+HostBuild[Total Hardware Costs
(Monthly)]</f>
        <v>1218.6433541666668</v>
      </c>
      <c r="EU133" s="66">
        <f>SUM(HostBuild[[#This Row],[Server Cost Breakdown]:[Network Cost]])</f>
        <v>888.7</v>
      </c>
      <c r="EV133" s="67">
        <f>IF(HostBuild[Existing Server?]="Yes - Inside this BoM",0,SUMIF(HostBuild[Alias],HostBuild[Alias],HostBuild[CPU])+SUMIF(HostBuild[Alias],HostBuild[Alias],HostBuild[Existing CPUs]))</f>
        <v>2</v>
      </c>
      <c r="EW133" s="67">
        <f>IF(HostBuild[Existing Server?]="Yes - Inside this BoM",0,SUMIF(HostBuild[Alias],HostBuild[Alias],HostBuild[Cores 
(Licensed Units)])+SUMIF(HostBuild[Alias],HostBuild[Alias],HostBuild[Existing Cores]))</f>
        <v>16</v>
      </c>
      <c r="EX133" s="67">
        <f>IF(HostBuild[Existing Server?]="Yes - Inside this BoM",0,SUMIF(HostBuild[Alias],HostBuild[Alias],HostBuild[RAM 
(GB)])+SUMIF(HostBuild[Alias],HostBuild[Alias],HostBuild[Existing RAM (GB)]))</f>
        <v>128</v>
      </c>
      <c r="EY13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3" s="66">
        <f>IF(ISBLANK(HostBuild[Server Model]),0,IF(HostBuild[Server Tier]="VMware",0,VLOOKUP(HostBuild[Server Tier],[1]!ServerTierRates[#Data],2,0))*HostBuild[CPU]*IF(AND(HostBuild[Server Type]="pSeries",HostBuild[Virtual Platform Storage Type]="Cloud-SAN"),0.25,1))</f>
        <v>608</v>
      </c>
      <c r="FD133" s="66">
        <f>0</f>
        <v>0</v>
      </c>
      <c r="FE133" s="66">
        <f>IF(HostBuild[Server Type]="VMware",HostBuild[RAM 
(GB)]*IF(ISERROR(FIND("DevCloud", HostBuild[Server Model])&gt;0),vRAM_per_vCPU_2014_Monthly,vRAM_per_vCPU_2014_Daily*30),0)</f>
        <v>0</v>
      </c>
      <c r="FF13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3" s="69">
        <f>IF(HostBuild[Server Tier]="VMware",0,IF(LEFT(HostBuild[Existing Server?],3)="Yes",0,IF(OR(HostBuild[Server Type]="Sun",HostBuild[Server Type]="pSeries"),Support_Direct_Server_Sun_per_OS_2014,IF(HostBuild[Server Type]="x86",Support_Direct_Server_x86_Wintel_per_OS_2014,0))))</f>
        <v>187.1</v>
      </c>
      <c r="FI13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4" spans="1:165" hidden="1">
      <c r="A134" s="122" t="s">
        <v>53</v>
      </c>
      <c r="B134" s="36"/>
      <c r="C134" s="36"/>
      <c r="D134" s="36"/>
      <c r="E134" s="37"/>
      <c r="F134" s="37"/>
      <c r="G134" s="103"/>
      <c r="H134" s="103"/>
      <c r="I134" s="38"/>
      <c r="J134" s="37"/>
      <c r="K134" s="37"/>
      <c r="L134" s="37"/>
      <c r="M134" s="103" t="e">
        <f ca="1">IF(rngIsDate(HostBuild[CTO Acceptance]),"Y","N")</f>
        <v>#NAME?</v>
      </c>
      <c r="N134" s="123" t="s">
        <v>4</v>
      </c>
      <c r="O134" s="39"/>
      <c r="P134" s="39"/>
      <c r="Q134" s="123" t="s">
        <v>192</v>
      </c>
      <c r="R134" s="126" t="str">
        <f>IF(NOT(ISBLANK(HostBuild[Env Label])),IFERROR(VLOOKUP(HostBuild[Env Label],[1]!tEnv[#Data],3,FALSE),""),"")</f>
        <v/>
      </c>
      <c r="S134" s="104"/>
      <c r="T134" s="40"/>
      <c r="U134" s="105"/>
      <c r="V134" s="123" t="s">
        <v>28</v>
      </c>
      <c r="W134" s="123" t="s">
        <v>191</v>
      </c>
      <c r="X134" s="123" t="s">
        <v>99</v>
      </c>
      <c r="Y134" s="123" t="s">
        <v>188</v>
      </c>
      <c r="Z134" s="126" t="str">
        <f>IF(NOT(ISBLANK(HostBuild[[#This Row],[Product 
(Acronym)]])),CONCATENATE(HostBuild[[#This Row],[Type]],"-",HostBuild[[#This Row],[Product 
(Acronym)]]),"")</f>
        <v>DB-CBOL</v>
      </c>
      <c r="AA134" s="106"/>
      <c r="AB134" s="106" t="s">
        <v>76</v>
      </c>
      <c r="AC134" s="41"/>
      <c r="AD134" s="42"/>
      <c r="AE134" s="42"/>
      <c r="AF134" s="43"/>
      <c r="AG134" s="124"/>
      <c r="AH134" s="107"/>
      <c r="AI134" s="124" t="s">
        <v>203</v>
      </c>
      <c r="AJ134" s="123">
        <f>IF(COUNTIF(HostBuild[Alias],HostBuild[Alias]),1/COUNTIF(HostBuild[Alias],HostBuild[Alias]),0)</f>
        <v>1</v>
      </c>
      <c r="AK134" s="124"/>
      <c r="AL134" s="124"/>
      <c r="AM134" s="44" t="s">
        <v>62</v>
      </c>
      <c r="AN134" s="45" t="str">
        <f>IF(NOT(ISBLANK(HostBuild[Server Model])),VLOOKUP(HostBuild[Server Model],[1]!ServerModelsTier[#Data],2,FALSE),"")</f>
        <v>x86 Tier 3</v>
      </c>
      <c r="AO134" s="45" t="str">
        <f>IF(NOT(ISBLANK(HostBuild[Server Model])),VLOOKUP(HostBuild[Server Model],[1]!ServerModelsTier[#Data],5,FALSE),"")</f>
        <v>x86</v>
      </c>
      <c r="AP134" s="44"/>
      <c r="AQ134" s="44" t="s">
        <v>63</v>
      </c>
      <c r="AR134" s="46">
        <v>2</v>
      </c>
      <c r="AS134" s="108"/>
      <c r="AT134" s="47">
        <v>16</v>
      </c>
      <c r="AU134" s="109" t="str">
        <f>IF(IFERROR(FIND("P-Series",HostBuild[Server Tier]),0),CEILING((HostBuild[Existing CPUs]+HostBuild[CPU])*16,8),"")</f>
        <v/>
      </c>
      <c r="AV134" s="48">
        <v>128</v>
      </c>
      <c r="AW134" s="124"/>
      <c r="AX134" s="124"/>
      <c r="AY134" s="124"/>
      <c r="AZ134" s="49"/>
      <c r="BA134" s="124"/>
      <c r="BB134" s="124"/>
      <c r="BC134" s="42"/>
      <c r="BD134" s="124"/>
      <c r="BE134" s="124"/>
      <c r="BF134" s="124"/>
      <c r="BG134" s="124"/>
      <c r="BH134" s="124"/>
      <c r="BI134" s="124"/>
      <c r="BJ134" s="124"/>
      <c r="BK134"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4" s="127">
        <v>1650</v>
      </c>
      <c r="BM134" s="129">
        <f>IF(ISNUMBER(HostBuild[Recommended SAN (GB)]),HostBuild[Recommended SAN (GB)])+IF(HostBuild[Additional SAN (GB)]&gt;0,CEILING(HostBuild[Additional SAN (GB)],LUN),-(CEILING(-HostBuild[Additional SAN (GB)],LUN)))</f>
        <v>1853.5000000000002</v>
      </c>
      <c r="BN134" s="128"/>
      <c r="BO134" s="129">
        <f>HostBuild[SAN (GB)
NEEDED TODAY]+CEILING(HostBuild[SAN (GB)
RESERVED
DO NOT USE TO BUILD], LUN)</f>
        <v>1853.5000000000002</v>
      </c>
      <c r="BP134" s="130">
        <v>1500</v>
      </c>
      <c r="BQ134" s="131"/>
      <c r="BR134" s="125" t="s">
        <v>76</v>
      </c>
      <c r="BS134" s="110">
        <f>IF(HostBuild[Existing Server?]&lt;&gt;"Yes - Inside this BoM",IF(ISNUMBER(HostBuild[RAM 
(GB)]),IF(HostBuild[Existing RAM (GB)]+HostBuild[RAM 
(GB)]&gt;0,IF(HostBuild[Virtual Platform Storage Type]="NAS",110+HostBuild[Existing RAM (GB)]+HostBuild[RAM 
(GB)]*1.75,0),0),0),0)</f>
        <v>0</v>
      </c>
      <c r="BT134" s="111"/>
      <c r="BU134" s="112">
        <f>IF(ISNUMBER(HostBuild[Recommended NAS (GB)]),HostBuild[Recommended NAS (GB)])+HostBuild[Additional NAS (GB)]</f>
        <v>0</v>
      </c>
      <c r="BV134" s="50"/>
      <c r="BW134" s="50"/>
      <c r="BX134" s="133">
        <f>IFERROR((HostBuild[SAN (GB)
End-State
DO NOT USE TO BUILD]+HostBuild[SAN (GB) Shared])*25%,"")</f>
        <v>838.375</v>
      </c>
      <c r="BY134" s="113">
        <f>IFERROR(HostBuild[Archive
Full (GB)]*15%,"")</f>
        <v>125.75624999999999</v>
      </c>
      <c r="BZ134" s="51"/>
      <c r="CA134" s="51"/>
      <c r="CB134" s="52"/>
      <c r="CC134" s="53"/>
      <c r="CD134" s="52"/>
      <c r="CE134" s="54"/>
      <c r="CF134" s="128"/>
      <c r="CG134" s="114"/>
      <c r="CH134" s="55"/>
      <c r="CI134" s="56"/>
      <c r="CJ134" s="57"/>
      <c r="CK134" s="58"/>
      <c r="CL134" s="59">
        <f>IFERROR(IF(FIND(CL$1,$W134)&gt;0,IF(INDEX([1]!Product_Pricing_Table[#Data],MATCH(CL$1,Products,0),2)="Cores",IF(HostBuild[Use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4" s="59">
        <f>IFERROR(IF(FIND(CM$1,$W134)&gt;0,IF(INDEX([1]!Product_Pricing_Table[#Data],MATCH(CM$1,Products,0),2)="Cores",IF(HostBuild[Use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4" s="59">
        <f>IFERROR(IF(FIND(CN$1,$W134)&gt;0,IF(INDEX([1]!Product_Pricing_Table[#Data],MATCH(CN$1,Products,0),2)="Cores",IF(HostBuild[Use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4" s="59">
        <f>IFERROR(IF(FIND(CO$1,$W134)&gt;0,IF(INDEX([1]!Product_Pricing_Table[#Data],MATCH(CO$1,Products,0),2)="Cores",IF(HostBuild[Use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4" s="59">
        <f>IFERROR(IF(FIND(CP$1,$W134)&gt;0,IF(INDEX([1]!Product_Pricing_Table[#Data],MATCH(CP$1,Products,0),2)="Cores",IF(HostBuild[Use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4" s="59">
        <f>IFERROR(IF(FIND(CQ$1,$W134)&gt;0,IF(INDEX([1]!Product_Pricing_Table[#Data],MATCH(CQ$1,Products,0),2)="Cores",IF(HostBuild[Use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4" s="59">
        <f>IFERROR(IF(FIND(CR$1,$W134)&gt;0,IF(INDEX([1]!Product_Pricing_Table[#Data],MATCH(CR$1,Products,0),2)="Cores",IF(HostBuild[Use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4" s="59">
        <f>IFERROR(IF(FIND(CS$1,$W134)&gt;0,IF(INDEX([1]!Product_Pricing_Table[#Data],MATCH(CS$1,Products,0),2)="Cores",IF(HostBuild[Use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4" s="59">
        <f>IFERROR(IF(FIND(CT$1,$W134)&gt;0,IF(INDEX([1]!Product_Pricing_Table[#Data],MATCH(CT$1,Products,0),2)="Cores",IF(HostBuild[Use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4" s="59">
        <f>IFERROR(IF(FIND(CU$1,$W134)&gt;0,IF(INDEX([1]!Product_Pricing_Table[#Data],MATCH(CU$1,Products,0),2)="Cores",IF(HostBuild[Use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4" s="59">
        <f>IFERROR(IF(FIND(CV$1,$W134)&gt;0,IF(INDEX([1]!Product_Pricing_Table[#Data],MATCH(CV$1,Products,0),2)="Cores",IF(HostBuild[Use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4" s="59">
        <f>IFERROR(IF(FIND(CW$1,$W134)&gt;0,IF(INDEX([1]!Product_Pricing_Table[#Data],MATCH(CW$1,Products,0),2)="Cores",IF(HostBuild[Use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4" s="59">
        <f>IFERROR(IF(FIND(CX$1,$W134)&gt;0,IF(INDEX([1]!Product_Pricing_Table[#Data],MATCH(CX$1,Products,0),2)="Cores",IF(HostBuild[Use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4" s="59">
        <f>IFERROR(IF(FIND(CY$1,$W134)&gt;0,IF(INDEX([1]!Product_Pricing_Table[#Data],MATCH(CY$1,Products,0),2)="Cores",IF(HostBuild[Use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4" s="59">
        <f>IFERROR(IF(FIND(CZ$1,$W134)&gt;0,IF(INDEX([1]!Product_Pricing_Table[#Data],MATCH(CZ$1,Products,0),2)="Cores",IF(HostBuild[Use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4" s="59">
        <f>IFERROR(IF(FIND(DA$1,$W134)&gt;0,IF(INDEX([1]!Product_Pricing_Table[#Data],MATCH(DA$1,Products,0),2)="Cores",IF(HostBuild[Use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4" s="59">
        <f>IFERROR(IF(FIND(DB$1,$W134)&gt;0,IF(INDEX([1]!Product_Pricing_Table[#Data],MATCH(DB$1,Products,0),2)="Cores",IF(HostBuild[Use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4" s="59">
        <f>IFERROR(IF(FIND(DC$1,$W134)&gt;0,IF(INDEX([1]!Product_Pricing_Table[#Data],MATCH(DC$1,Products,0),2)="Cores",IF(HostBuild[Use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4" s="59">
        <f>IFERROR(IF(FIND(DD$1,$W134)&gt;0,IF(INDEX([1]!Product_Pricing_Table[#Data],MATCH(DD$1,Products,0),2)="Cores",IF(HostBuild[Use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4" s="59">
        <f>IFERROR(IF(FIND(DE$1,$W134)&gt;0,IF(INDEX([1]!Product_Pricing_Table[#Data],MATCH(DE$1,Products,0),2)="Cores",IF(HostBuild[Use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4" s="60">
        <f>IFERROR(IF(FIND(DF$1,$W134)&gt;0,IF(INDEX([1]!Product_Pricing_Table[#Data],MATCH(DF$1,Products,0),2)="Cores",IF(HostBuild[Use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4" s="60">
        <f>IFERROR(IF(FIND(DG$1,$W134)&gt;0,IF(INDEX([1]!Product_Pricing_Table[#Data],MATCH(DG$1,Products,0),2)="Cores",IF(HostBuild[Use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4" s="59">
        <f>IFERROR(IF(FIND(DH$1,$W134)&gt;0,IF(INDEX([1]!Product_Pricing_Table[#Data],MATCH(DH$1,Products,0),2)="Cores",IF(HostBuild[Use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4" s="60">
        <f>IFERROR(IF(FIND(DI$1,$W134)&gt;0,IF(INDEX([1]!Product_Pricing_Table[#Data],MATCH(DI$1,Products,0),2)="Cores",IF(HostBuild[Use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4" s="59">
        <f>IFERROR(IF(FIND(DJ$1,$W134)&gt;0,IF(INDEX([1]!Product_Pricing_Table[#Data],MATCH(DJ$1,Products,0),2)="Cores",IF(HostBuild[Use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4" s="59">
        <f>IFERROR(IF(FIND(DK$1,$W134)&gt;0,IF(INDEX([1]!Product_Pricing_Table[#Data],MATCH(DK$1,Products,0),2)="Cores",IF(HostBuild[Use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4" s="59">
        <f>IFERROR(IF(FIND(DL$1,$W134)&gt;0,IF(INDEX([1]!Product_Pricing_Table[#Data],MATCH(DL$1,Products,0),2)="Cores",IF(HostBuild[Use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4" s="59">
        <f>IFERROR(IF(FIND(DM$1,$W134)&gt;0,IF(INDEX([1]!Product_Pricing_Table[#Data],MATCH(DM$1,Products,0),2)="Cores",IF(HostBuild[Use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4" s="59">
        <f>IFERROR(IF(FIND(DN$1,$W134)&gt;0,IF(INDEX([1]!Product_Pricing_Table[#Data],MATCH(DN$1,Products,0),2)="Cores",IF(HostBuild[Use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4" s="59">
        <f>IFERROR(IF(FIND(DO$1,$W134)&gt;0,IF(INDEX([1]!Product_Pricing_Table[#Data],MATCH(DO$1,Products,0),2)="Cores",IF(HostBuild[Use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4" s="59">
        <f>IFERROR(IF(FIND(DP$1,$W134)&gt;0,IF(INDEX([1]!Product_Pricing_Table[#Data],MATCH(DP$1,Products,0),2)="Cores",IF(HostBuild[Use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4" s="59">
        <f>IFERROR(IF(FIND(DQ$1,$W134)&gt;0,IF(INDEX([1]!Product_Pricing_Table[#Data],MATCH(DQ$1,Products,0),2)="Cores",IF(HostBuild[Use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4" s="59">
        <f>IFERROR(IF(FIND(DR$1,$W134)&gt;0,IF(INDEX([1]!Product_Pricing_Table[#Data],MATCH(DR$1,Products,0),2)="Cores",IF(HostBuild[Use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4" s="59">
        <f>IFERROR(IF(FIND(DS$1,$W134)&gt;0,IF(INDEX([1]!Product_Pricing_Table[#Data],MATCH(DS$1,Products,0),2)="Cores",IF(HostBuild[Use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4" s="59">
        <f>IFERROR(IF(FIND(DT$1,$W134)&gt;0,IF(INDEX([1]!Product_Pricing_Table[#Data],MATCH(DT$1,Products,0),2)="Cores",IF(HostBuild[Use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4" s="59">
        <f>IFERROR(IF(FIND(DU$1,$W134)&gt;0,IF(INDEX([1]!Product_Pricing_Table[#Data],MATCH(DU$1,Products,0),2)="Cores",IF(HostBuild[Use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4" s="59">
        <f>IFERROR(IF(FIND(DV$1,$W134)&gt;0,IF(INDEX([1]!Product_Pricing_Table[#Data],MATCH(DV$1,Products,0),2)="Cores",IF(HostBuild[Use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34" s="59">
        <f>IFERROR(IF(FIND(DW$1,$W134)&gt;0,IF(INDEX([1]!Product_Pricing_Table[#Data],MATCH(DW$1,Products,0),2)="Cores",IF(HostBuild[Use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4" s="59">
        <f>IFERROR(IF(FIND(DX$1,$W134)&gt;0,IF(INDEX([1]!Product_Pricing_Table[#Data],MATCH(DX$1,Products,0),2)="Cores",IF(HostBuild[Use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4" s="59">
        <f>IFERROR(IF(FIND(DY$1,$W134)&gt;0,IF(INDEX([1]!Product_Pricing_Table[#Data],MATCH(DY$1,Products,0),2)="Cores",IF(HostBuild[Use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4" s="59">
        <f>IFERROR(IF(FIND(DZ$1,$W134)&gt;0,IF(INDEX([1]!Product_Pricing_Table[#Data],MATCH(DZ$1,Products,0),2)="Cores",IF(HostBuild[Use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4" s="59">
        <f>IFERROR(IF(FIND(EA$1,$W134)&gt;0,IF(INDEX([1]!Product_Pricing_Table[#Data],MATCH(EA$1,Products,0),2)="Cores",IF(HostBuild[Use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4" s="59">
        <f>IFERROR(IF(FIND(EB$1,$W134)&gt;0,IF(INDEX([1]!Product_Pricing_Table[#Data],MATCH(EB$1,Products,0),2)="Cores",IF(HostBuild[Use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4" s="60">
        <f>IFERROR(IF(FIND(EC$1,$W134)&gt;0,IF(INDEX([1]!Product_Pricing_Table[#Data],MATCH(EC$1,Products,0),2)="Cores",IF(HostBuild[Use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4" s="59">
        <f>IFERROR(IF(FIND(ED$1,$W134)&gt;0,IF(INDEX([1]!Product_Pricing_Table[#Data],MATCH(ED$1,Products,0),2)="Cores",IF(HostBuild[Use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4" s="59">
        <f>IFERROR(IF(FIND(EE$1,$W134)&gt;0,IF(INDEX([1]!Product_Pricing_Table[#Data],MATCH(EE$1,Products,0),2)="Cores",IF(HostBuild[Use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4" s="59">
        <f>IFERROR(IF(FIND(EF$1,$W134)&gt;0,IF(INDEX([1]!Product_Pricing_Table[#Data],MATCH(EF$1,Products,0),2)="Cores",IF(HostBuild[Use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4" s="59">
        <f>IFERROR(IF(FIND(EG$1,$W134)&gt;0,IF(INDEX([1]!Product_Pricing_Table[#Data],MATCH(EG$1,Products,0),2)="Cores",IF(HostBuild[Use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4" s="59">
        <f>IFERROR(IF(FIND(EH$1,$W134)&gt;0,IF(INDEX([1]!Product_Pricing_Table[#Data],MATCH(EH$1,Products,0),2)="Cores",IF(HostBuild[Use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4" s="59">
        <f>IFERROR(IF(FIND(EI$1,$W134)&gt;0,IF(INDEX([1]!Product_Pricing_Table[#Data],MATCH(EI$1,Products,0),2)="Cores",IF(HostBuild[Use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4" s="59">
        <f>IFERROR(IF(FIND(EJ$1,$W134)&gt;0,IF(INDEX([1]!Product_Pricing_Table[#Data],MATCH(EJ$1,Products,0),2)="Cores",IF(HostBuild[Use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4" s="60">
        <f>IFERROR(IF(FIND(EK$1,$W134)&gt;0,IF(INDEX([1]!Product_Pricing_Table[#Data],MATCH(EK$1,Products,0),2)="Cores",IF(HostBuild[Use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4" s="61"/>
      <c r="EM134" s="62">
        <v>718.61</v>
      </c>
      <c r="EN134" s="63">
        <v>125.82666666666667</v>
      </c>
      <c r="EO134"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2350.5750000000003</v>
      </c>
      <c r="EQ134" s="132">
        <f>(HostBuild[Archive
Full (GB)]+HostBuild[Archive
Incr (GB)])*Storage_DC_Dist_Tape_2014</f>
        <v>337.44593750000001</v>
      </c>
      <c r="ER134" s="132">
        <f>IF(ISNUMBER(HostBuild[Server HW Costs
(Monthly)]),SUM(HostBuild[[#This Row],[Server HW Costs
(Monthly)]:[Tape Costs
(Monthly)]]),0)</f>
        <v>3576.7209375000007</v>
      </c>
      <c r="ES134" s="65">
        <f>HostBuild[Software Costs
'[Year 1']
(Monthly)]+HostBuild[Total Hardware Costs
(Monthly)]</f>
        <v>4295.3309375000008</v>
      </c>
      <c r="ET134" s="65">
        <f>IFERROR(IF(FIND("Safenet",HostBuild[Server Model]),Safenet_PSE_PL600_Maint,0),0)+IFERROR(IF(FIND("XI52",HostBuild[Server Model]),IBM_DIA_XI52_Maint,0),0)+HostBuild[Software Costs
'[After Year 1']
(Monthly)]+HostBuild[Total Hardware Costs
(Monthly)]</f>
        <v>3702.5476041666675</v>
      </c>
      <c r="EU134" s="66">
        <f>SUM(HostBuild[[#This Row],[Server Cost Breakdown]:[Network Cost]])</f>
        <v>888.7</v>
      </c>
      <c r="EV134" s="67">
        <f>IF(HostBuild[Existing Server?]="Yes - Inside this BoM",0,SUMIF(HostBuild[Alias],HostBuild[Alias],HostBuild[CPU])+SUMIF(HostBuild[Alias],HostBuild[Alias],HostBuild[Existing CPUs]))</f>
        <v>2</v>
      </c>
      <c r="EW134" s="67">
        <f>IF(HostBuild[Existing Server?]="Yes - Inside this BoM",0,SUMIF(HostBuild[Alias],HostBuild[Alias],HostBuild[Cores 
(Licensed Units)])+SUMIF(HostBuild[Alias],HostBuild[Alias],HostBuild[Existing Cores]))</f>
        <v>16</v>
      </c>
      <c r="EX134" s="67">
        <f>IF(HostBuild[Existing Server?]="Yes - Inside this BoM",0,SUMIF(HostBuild[Alias],HostBuild[Alias],HostBuild[RAM 
(GB)])+SUMIF(HostBuild[Alias],HostBuild[Alias],HostBuild[Existing RAM (GB)]))</f>
        <v>128</v>
      </c>
      <c r="EY13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4" s="66">
        <f>IF(ISBLANK(HostBuild[Server Model]),0,IF(HostBuild[Server Tier]="VMware",0,VLOOKUP(HostBuild[Server Tier],[1]!ServerTierRates[#Data],2,0))*HostBuild[CPU]*IF(AND(HostBuild[Server Type]="pSeries",HostBuild[Virtual Platform Storage Type]="Cloud-SAN"),0.25,1))</f>
        <v>608</v>
      </c>
      <c r="FD134" s="66">
        <f>0</f>
        <v>0</v>
      </c>
      <c r="FE134" s="66">
        <f>IF(HostBuild[Server Type]="VMware",HostBuild[RAM 
(GB)]*IF(ISERROR(FIND("DevCloud", HostBuild[Server Model])&gt;0),vRAM_per_vCPU_2014_Monthly,vRAM_per_vCPU_2014_Daily*30),0)</f>
        <v>0</v>
      </c>
      <c r="FF13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4" s="69">
        <f>IF(HostBuild[Server Tier]="VMware",0,IF(LEFT(HostBuild[Existing Server?],3)="Yes",0,IF(OR(HostBuild[Server Type]="Sun",HostBuild[Server Type]="pSeries"),Support_Direct_Server_Sun_per_OS_2014,IF(HostBuild[Server Type]="x86",Support_Direct_Server_x86_Wintel_per_OS_2014,0))))</f>
        <v>187.1</v>
      </c>
      <c r="FI13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5" spans="1:165" hidden="1">
      <c r="A135" s="122" t="s">
        <v>53</v>
      </c>
      <c r="B135" s="36"/>
      <c r="C135" s="36"/>
      <c r="D135" s="36"/>
      <c r="E135" s="37"/>
      <c r="F135" s="37"/>
      <c r="G135" s="103"/>
      <c r="H135" s="103"/>
      <c r="I135" s="38"/>
      <c r="J135" s="37"/>
      <c r="K135" s="37"/>
      <c r="L135" s="37"/>
      <c r="M135" s="103" t="e">
        <f ca="1">IF(rngIsDate(HostBuild[CTO Acceptance]),"Y","N")</f>
        <v>#NAME?</v>
      </c>
      <c r="N135" s="123" t="s">
        <v>4</v>
      </c>
      <c r="O135" s="39"/>
      <c r="P135" s="39"/>
      <c r="Q135" s="123" t="s">
        <v>192</v>
      </c>
      <c r="R135" s="126" t="str">
        <f>IF(NOT(ISBLANK(HostBuild[Env Label])),IFERROR(VLOOKUP(HostBuild[Env Label],[1]!tEnv[#Data],3,FALSE),""),"")</f>
        <v/>
      </c>
      <c r="S135" s="104"/>
      <c r="T135" s="40"/>
      <c r="U135" s="105"/>
      <c r="V135" s="123" t="s">
        <v>28</v>
      </c>
      <c r="W135" s="123" t="s">
        <v>191</v>
      </c>
      <c r="X135" s="123" t="s">
        <v>99</v>
      </c>
      <c r="Y135" s="123" t="s">
        <v>188</v>
      </c>
      <c r="Z135" s="126" t="str">
        <f>IF(NOT(ISBLANK(HostBuild[[#This Row],[Product 
(Acronym)]])),CONCATENATE(HostBuild[[#This Row],[Type]],"-",HostBuild[[#This Row],[Product 
(Acronym)]]),"")</f>
        <v>DB-CBOL</v>
      </c>
      <c r="AA135" s="106"/>
      <c r="AB135" s="106" t="s">
        <v>76</v>
      </c>
      <c r="AC135" s="41"/>
      <c r="AD135" s="42"/>
      <c r="AE135" s="42"/>
      <c r="AF135" s="43"/>
      <c r="AG135" s="124"/>
      <c r="AH135" s="107"/>
      <c r="AI135" s="124" t="s">
        <v>204</v>
      </c>
      <c r="AJ135" s="123">
        <f>IF(COUNTIF(HostBuild[Alias],HostBuild[Alias]),1/COUNTIF(HostBuild[Alias],HostBuild[Alias]),0)</f>
        <v>1</v>
      </c>
      <c r="AK135" s="124"/>
      <c r="AL135" s="124"/>
      <c r="AM135" s="44" t="s">
        <v>62</v>
      </c>
      <c r="AN135" s="45" t="str">
        <f>IF(NOT(ISBLANK(HostBuild[Server Model])),VLOOKUP(HostBuild[Server Model],[1]!ServerModelsTier[#Data],2,FALSE),"")</f>
        <v>x86 Tier 3</v>
      </c>
      <c r="AO135" s="45" t="str">
        <f>IF(NOT(ISBLANK(HostBuild[Server Model])),VLOOKUP(HostBuild[Server Model],[1]!ServerModelsTier[#Data],5,FALSE),"")</f>
        <v>x86</v>
      </c>
      <c r="AP135" s="44"/>
      <c r="AQ135" s="44" t="s">
        <v>63</v>
      </c>
      <c r="AR135" s="46">
        <v>2</v>
      </c>
      <c r="AS135" s="108"/>
      <c r="AT135" s="47">
        <v>16</v>
      </c>
      <c r="AU135" s="109" t="str">
        <f>IF(IFERROR(FIND("P-Series",HostBuild[Server Tier]),0),CEILING((HostBuild[Existing CPUs]+HostBuild[CPU])*16,8),"")</f>
        <v/>
      </c>
      <c r="AV135" s="48">
        <v>128</v>
      </c>
      <c r="AW135" s="124"/>
      <c r="AX135" s="124"/>
      <c r="AY135" s="124"/>
      <c r="AZ135" s="49"/>
      <c r="BA135" s="124"/>
      <c r="BB135" s="124"/>
      <c r="BC135" s="42"/>
      <c r="BD135" s="124"/>
      <c r="BE135" s="124"/>
      <c r="BF135" s="124"/>
      <c r="BG135" s="124"/>
      <c r="BH135" s="124"/>
      <c r="BI135" s="124"/>
      <c r="BJ135" s="124"/>
      <c r="BK135"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5" s="127">
        <v>150</v>
      </c>
      <c r="BM135" s="129">
        <f>IF(ISNUMBER(HostBuild[Recommended SAN (GB)]),HostBuild[Recommended SAN (GB)])+IF(HostBuild[Additional SAN (GB)]&gt;0,CEILING(HostBuild[Additional SAN (GB)],LUN),-(CEILING(-HostBuild[Additional SAN (GB)],LUN)))</f>
        <v>370.70000000000005</v>
      </c>
      <c r="BN135" s="128"/>
      <c r="BO135" s="129">
        <f>HostBuild[SAN (GB)
NEEDED TODAY]+CEILING(HostBuild[SAN (GB)
RESERVED
DO NOT USE TO BUILD], LUN)</f>
        <v>370.70000000000005</v>
      </c>
      <c r="BP135" s="130"/>
      <c r="BQ135" s="131"/>
      <c r="BR135" s="125" t="s">
        <v>76</v>
      </c>
      <c r="BS135" s="110">
        <f>IF(HostBuild[Existing Server?]&lt;&gt;"Yes - Inside this BoM",IF(ISNUMBER(HostBuild[RAM 
(GB)]),IF(HostBuild[Existing RAM (GB)]+HostBuild[RAM 
(GB)]&gt;0,IF(HostBuild[Virtual Platform Storage Type]="NAS",110+HostBuild[Existing RAM (GB)]+HostBuild[RAM 
(GB)]*1.75,0),0),0),0)</f>
        <v>0</v>
      </c>
      <c r="BT135" s="111"/>
      <c r="BU135" s="112">
        <f>IF(ISNUMBER(HostBuild[Recommended NAS (GB)]),HostBuild[Recommended NAS (GB)])+HostBuild[Additional NAS (GB)]</f>
        <v>0</v>
      </c>
      <c r="BV135" s="50"/>
      <c r="BW135" s="50"/>
      <c r="BX135" s="133">
        <f>IFERROR((HostBuild[SAN (GB)
End-State
DO NOT USE TO BUILD]+HostBuild[SAN (GB) Shared])*25%,"")</f>
        <v>92.675000000000011</v>
      </c>
      <c r="BY135" s="113">
        <f>IFERROR(HostBuild[Archive
Full (GB)]*15%,"")</f>
        <v>13.901250000000001</v>
      </c>
      <c r="BZ135" s="51"/>
      <c r="CA135" s="51"/>
      <c r="CB135" s="52"/>
      <c r="CC135" s="53"/>
      <c r="CD135" s="52"/>
      <c r="CE135" s="54"/>
      <c r="CF135" s="128"/>
      <c r="CG135" s="114"/>
      <c r="CH135" s="55"/>
      <c r="CI135" s="56"/>
      <c r="CJ135" s="57"/>
      <c r="CK135" s="58"/>
      <c r="CL135" s="59">
        <f>IFERROR(IF(FIND(CL$1,$W135)&gt;0,IF(INDEX([1]!Product_Pricing_Table[#Data],MATCH(CL$1,Products,0),2)="Cores",IF(HostBuild[Use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5" s="59">
        <f>IFERROR(IF(FIND(CM$1,$W135)&gt;0,IF(INDEX([1]!Product_Pricing_Table[#Data],MATCH(CM$1,Products,0),2)="Cores",IF(HostBuild[Use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5" s="59">
        <f>IFERROR(IF(FIND(CN$1,$W135)&gt;0,IF(INDEX([1]!Product_Pricing_Table[#Data],MATCH(CN$1,Products,0),2)="Cores",IF(HostBuild[Use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5" s="59">
        <f>IFERROR(IF(FIND(CO$1,$W135)&gt;0,IF(INDEX([1]!Product_Pricing_Table[#Data],MATCH(CO$1,Products,0),2)="Cores",IF(HostBuild[Use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5" s="59">
        <f>IFERROR(IF(FIND(CP$1,$W135)&gt;0,IF(INDEX([1]!Product_Pricing_Table[#Data],MATCH(CP$1,Products,0),2)="Cores",IF(HostBuild[Use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5" s="59">
        <f>IFERROR(IF(FIND(CQ$1,$W135)&gt;0,IF(INDEX([1]!Product_Pricing_Table[#Data],MATCH(CQ$1,Products,0),2)="Cores",IF(HostBuild[Use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5" s="59">
        <f>IFERROR(IF(FIND(CR$1,$W135)&gt;0,IF(INDEX([1]!Product_Pricing_Table[#Data],MATCH(CR$1,Products,0),2)="Cores",IF(HostBuild[Use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5" s="59">
        <f>IFERROR(IF(FIND(CS$1,$W135)&gt;0,IF(INDEX([1]!Product_Pricing_Table[#Data],MATCH(CS$1,Products,0),2)="Cores",IF(HostBuild[Use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5" s="59">
        <f>IFERROR(IF(FIND(CT$1,$W135)&gt;0,IF(INDEX([1]!Product_Pricing_Table[#Data],MATCH(CT$1,Products,0),2)="Cores",IF(HostBuild[Use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5" s="59">
        <f>IFERROR(IF(FIND(CU$1,$W135)&gt;0,IF(INDEX([1]!Product_Pricing_Table[#Data],MATCH(CU$1,Products,0),2)="Cores",IF(HostBuild[Use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5" s="59">
        <f>IFERROR(IF(FIND(CV$1,$W135)&gt;0,IF(INDEX([1]!Product_Pricing_Table[#Data],MATCH(CV$1,Products,0),2)="Cores",IF(HostBuild[Use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5" s="59">
        <f>IFERROR(IF(FIND(CW$1,$W135)&gt;0,IF(INDEX([1]!Product_Pricing_Table[#Data],MATCH(CW$1,Products,0),2)="Cores",IF(HostBuild[Use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5" s="59">
        <f>IFERROR(IF(FIND(CX$1,$W135)&gt;0,IF(INDEX([1]!Product_Pricing_Table[#Data],MATCH(CX$1,Products,0),2)="Cores",IF(HostBuild[Use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5" s="59">
        <f>IFERROR(IF(FIND(CY$1,$W135)&gt;0,IF(INDEX([1]!Product_Pricing_Table[#Data],MATCH(CY$1,Products,0),2)="Cores",IF(HostBuild[Use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5" s="59">
        <f>IFERROR(IF(FIND(CZ$1,$W135)&gt;0,IF(INDEX([1]!Product_Pricing_Table[#Data],MATCH(CZ$1,Products,0),2)="Cores",IF(HostBuild[Use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5" s="59">
        <f>IFERROR(IF(FIND(DA$1,$W135)&gt;0,IF(INDEX([1]!Product_Pricing_Table[#Data],MATCH(DA$1,Products,0),2)="Cores",IF(HostBuild[Use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5" s="59">
        <f>IFERROR(IF(FIND(DB$1,$W135)&gt;0,IF(INDEX([1]!Product_Pricing_Table[#Data],MATCH(DB$1,Products,0),2)="Cores",IF(HostBuild[Use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5" s="59">
        <f>IFERROR(IF(FIND(DC$1,$W135)&gt;0,IF(INDEX([1]!Product_Pricing_Table[#Data],MATCH(DC$1,Products,0),2)="Cores",IF(HostBuild[Use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5" s="59">
        <f>IFERROR(IF(FIND(DD$1,$W135)&gt;0,IF(INDEX([1]!Product_Pricing_Table[#Data],MATCH(DD$1,Products,0),2)="Cores",IF(HostBuild[Use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5" s="59">
        <f>IFERROR(IF(FIND(DE$1,$W135)&gt;0,IF(INDEX([1]!Product_Pricing_Table[#Data],MATCH(DE$1,Products,0),2)="Cores",IF(HostBuild[Use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5" s="60">
        <f>IFERROR(IF(FIND(DF$1,$W135)&gt;0,IF(INDEX([1]!Product_Pricing_Table[#Data],MATCH(DF$1,Products,0),2)="Cores",IF(HostBuild[Use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5" s="60">
        <f>IFERROR(IF(FIND(DG$1,$W135)&gt;0,IF(INDEX([1]!Product_Pricing_Table[#Data],MATCH(DG$1,Products,0),2)="Cores",IF(HostBuild[Use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5" s="59">
        <f>IFERROR(IF(FIND(DH$1,$W135)&gt;0,IF(INDEX([1]!Product_Pricing_Table[#Data],MATCH(DH$1,Products,0),2)="Cores",IF(HostBuild[Use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5" s="60">
        <f>IFERROR(IF(FIND(DI$1,$W135)&gt;0,IF(INDEX([1]!Product_Pricing_Table[#Data],MATCH(DI$1,Products,0),2)="Cores",IF(HostBuild[Use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5" s="59">
        <f>IFERROR(IF(FIND(DJ$1,$W135)&gt;0,IF(INDEX([1]!Product_Pricing_Table[#Data],MATCH(DJ$1,Products,0),2)="Cores",IF(HostBuild[Use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5" s="59">
        <f>IFERROR(IF(FIND(DK$1,$W135)&gt;0,IF(INDEX([1]!Product_Pricing_Table[#Data],MATCH(DK$1,Products,0),2)="Cores",IF(HostBuild[Use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5" s="59">
        <f>IFERROR(IF(FIND(DL$1,$W135)&gt;0,IF(INDEX([1]!Product_Pricing_Table[#Data],MATCH(DL$1,Products,0),2)="Cores",IF(HostBuild[Use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5" s="59">
        <f>IFERROR(IF(FIND(DM$1,$W135)&gt;0,IF(INDEX([1]!Product_Pricing_Table[#Data],MATCH(DM$1,Products,0),2)="Cores",IF(HostBuild[Use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5" s="59">
        <f>IFERROR(IF(FIND(DN$1,$W135)&gt;0,IF(INDEX([1]!Product_Pricing_Table[#Data],MATCH(DN$1,Products,0),2)="Cores",IF(HostBuild[Use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5" s="59">
        <f>IFERROR(IF(FIND(DO$1,$W135)&gt;0,IF(INDEX([1]!Product_Pricing_Table[#Data],MATCH(DO$1,Products,0),2)="Cores",IF(HostBuild[Use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5" s="59">
        <f>IFERROR(IF(FIND(DP$1,$W135)&gt;0,IF(INDEX([1]!Product_Pricing_Table[#Data],MATCH(DP$1,Products,0),2)="Cores",IF(HostBuild[Use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5" s="59">
        <f>IFERROR(IF(FIND(DQ$1,$W135)&gt;0,IF(INDEX([1]!Product_Pricing_Table[#Data],MATCH(DQ$1,Products,0),2)="Cores",IF(HostBuild[Use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5" s="59">
        <f>IFERROR(IF(FIND(DR$1,$W135)&gt;0,IF(INDEX([1]!Product_Pricing_Table[#Data],MATCH(DR$1,Products,0),2)="Cores",IF(HostBuild[Use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5" s="59">
        <f>IFERROR(IF(FIND(DS$1,$W135)&gt;0,IF(INDEX([1]!Product_Pricing_Table[#Data],MATCH(DS$1,Products,0),2)="Cores",IF(HostBuild[Use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5" s="59">
        <f>IFERROR(IF(FIND(DT$1,$W135)&gt;0,IF(INDEX([1]!Product_Pricing_Table[#Data],MATCH(DT$1,Products,0),2)="Cores",IF(HostBuild[Use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5" s="59">
        <f>IFERROR(IF(FIND(DU$1,$W135)&gt;0,IF(INDEX([1]!Product_Pricing_Table[#Data],MATCH(DU$1,Products,0),2)="Cores",IF(HostBuild[Use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5" s="59">
        <f>IFERROR(IF(FIND(DV$1,$W135)&gt;0,IF(INDEX([1]!Product_Pricing_Table[#Data],MATCH(DV$1,Products,0),2)="Cores",IF(HostBuild[Use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35" s="59">
        <f>IFERROR(IF(FIND(DW$1,$W135)&gt;0,IF(INDEX([1]!Product_Pricing_Table[#Data],MATCH(DW$1,Products,0),2)="Cores",IF(HostBuild[Use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5" s="59">
        <f>IFERROR(IF(FIND(DX$1,$W135)&gt;0,IF(INDEX([1]!Product_Pricing_Table[#Data],MATCH(DX$1,Products,0),2)="Cores",IF(HostBuild[Use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5" s="59">
        <f>IFERROR(IF(FIND(DY$1,$W135)&gt;0,IF(INDEX([1]!Product_Pricing_Table[#Data],MATCH(DY$1,Products,0),2)="Cores",IF(HostBuild[Use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5" s="59">
        <f>IFERROR(IF(FIND(DZ$1,$W135)&gt;0,IF(INDEX([1]!Product_Pricing_Table[#Data],MATCH(DZ$1,Products,0),2)="Cores",IF(HostBuild[Use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5" s="59">
        <f>IFERROR(IF(FIND(EA$1,$W135)&gt;0,IF(INDEX([1]!Product_Pricing_Table[#Data],MATCH(EA$1,Products,0),2)="Cores",IF(HostBuild[Use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5" s="59">
        <f>IFERROR(IF(FIND(EB$1,$W135)&gt;0,IF(INDEX([1]!Product_Pricing_Table[#Data],MATCH(EB$1,Products,0),2)="Cores",IF(HostBuild[Use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5" s="60">
        <f>IFERROR(IF(FIND(EC$1,$W135)&gt;0,IF(INDEX([1]!Product_Pricing_Table[#Data],MATCH(EC$1,Products,0),2)="Cores",IF(HostBuild[Use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5" s="59">
        <f>IFERROR(IF(FIND(ED$1,$W135)&gt;0,IF(INDEX([1]!Product_Pricing_Table[#Data],MATCH(ED$1,Products,0),2)="Cores",IF(HostBuild[Use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5" s="59">
        <f>IFERROR(IF(FIND(EE$1,$W135)&gt;0,IF(INDEX([1]!Product_Pricing_Table[#Data],MATCH(EE$1,Products,0),2)="Cores",IF(HostBuild[Use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5" s="59">
        <f>IFERROR(IF(FIND(EF$1,$W135)&gt;0,IF(INDEX([1]!Product_Pricing_Table[#Data],MATCH(EF$1,Products,0),2)="Cores",IF(HostBuild[Use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5" s="59">
        <f>IFERROR(IF(FIND(EG$1,$W135)&gt;0,IF(INDEX([1]!Product_Pricing_Table[#Data],MATCH(EG$1,Products,0),2)="Cores",IF(HostBuild[Use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5" s="59">
        <f>IFERROR(IF(FIND(EH$1,$W135)&gt;0,IF(INDEX([1]!Product_Pricing_Table[#Data],MATCH(EH$1,Products,0),2)="Cores",IF(HostBuild[Use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5" s="59">
        <f>IFERROR(IF(FIND(EI$1,$W135)&gt;0,IF(INDEX([1]!Product_Pricing_Table[#Data],MATCH(EI$1,Products,0),2)="Cores",IF(HostBuild[Use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5" s="59">
        <f>IFERROR(IF(FIND(EJ$1,$W135)&gt;0,IF(INDEX([1]!Product_Pricing_Table[#Data],MATCH(EJ$1,Products,0),2)="Cores",IF(HostBuild[Use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5" s="60">
        <f>IFERROR(IF(FIND(EK$1,$W135)&gt;0,IF(INDEX([1]!Product_Pricing_Table[#Data],MATCH(EK$1,Products,0),2)="Cores",IF(HostBuild[Use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5" s="61"/>
      <c r="EM135" s="62">
        <v>718.61</v>
      </c>
      <c r="EN135" s="63">
        <v>125.82666666666667</v>
      </c>
      <c r="EO135"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166.81500000000003</v>
      </c>
      <c r="EQ135" s="132">
        <f>(HostBuild[Archive
Full (GB)]+HostBuild[Archive
Incr (GB)])*Storage_DC_Dist_Tape_2014</f>
        <v>37.3016875</v>
      </c>
      <c r="ER135" s="132">
        <f>IF(ISNUMBER(HostBuild[Server HW Costs
(Monthly)]),SUM(HostBuild[[#This Row],[Server HW Costs
(Monthly)]:[Tape Costs
(Monthly)]]),0)</f>
        <v>1092.8166875000002</v>
      </c>
      <c r="ES135" s="65">
        <f>HostBuild[Software Costs
'[Year 1']
(Monthly)]+HostBuild[Total Hardware Costs
(Monthly)]</f>
        <v>1811.4266875000003</v>
      </c>
      <c r="ET135" s="65">
        <f>IFERROR(IF(FIND("Safenet",HostBuild[Server Model]),Safenet_PSE_PL600_Maint,0),0)+IFERROR(IF(FIND("XI52",HostBuild[Server Model]),IBM_DIA_XI52_Maint,0),0)+HostBuild[Software Costs
'[After Year 1']
(Monthly)]+HostBuild[Total Hardware Costs
(Monthly)]</f>
        <v>1218.6433541666668</v>
      </c>
      <c r="EU135" s="66">
        <f>SUM(HostBuild[[#This Row],[Server Cost Breakdown]:[Network Cost]])</f>
        <v>888.7</v>
      </c>
      <c r="EV135" s="67">
        <f>IF(HostBuild[Existing Server?]="Yes - Inside this BoM",0,SUMIF(HostBuild[Alias],HostBuild[Alias],HostBuild[CPU])+SUMIF(HostBuild[Alias],HostBuild[Alias],HostBuild[Existing CPUs]))</f>
        <v>2</v>
      </c>
      <c r="EW135" s="67">
        <f>IF(HostBuild[Existing Server?]="Yes - Inside this BoM",0,SUMIF(HostBuild[Alias],HostBuild[Alias],HostBuild[Cores 
(Licensed Units)])+SUMIF(HostBuild[Alias],HostBuild[Alias],HostBuild[Existing Cores]))</f>
        <v>16</v>
      </c>
      <c r="EX135" s="67">
        <f>IF(HostBuild[Existing Server?]="Yes - Inside this BoM",0,SUMIF(HostBuild[Alias],HostBuild[Alias],HostBuild[RAM 
(GB)])+SUMIF(HostBuild[Alias],HostBuild[Alias],HostBuild[Existing RAM (GB)]))</f>
        <v>128</v>
      </c>
      <c r="EY13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5" s="66">
        <f>IF(ISBLANK(HostBuild[Server Model]),0,IF(HostBuild[Server Tier]="VMware",0,VLOOKUP(HostBuild[Server Tier],[1]!ServerTierRates[#Data],2,0))*HostBuild[CPU]*IF(AND(HostBuild[Server Type]="pSeries",HostBuild[Virtual Platform Storage Type]="Cloud-SAN"),0.25,1))</f>
        <v>608</v>
      </c>
      <c r="FD135" s="66">
        <f>0</f>
        <v>0</v>
      </c>
      <c r="FE135" s="66">
        <f>IF(HostBuild[Server Type]="VMware",HostBuild[RAM 
(GB)]*IF(ISERROR(FIND("DevCloud", HostBuild[Server Model])&gt;0),vRAM_per_vCPU_2014_Monthly,vRAM_per_vCPU_2014_Daily*30),0)</f>
        <v>0</v>
      </c>
      <c r="FF13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5" s="69">
        <f>IF(HostBuild[Server Tier]="VMware",0,IF(LEFT(HostBuild[Existing Server?],3)="Yes",0,IF(OR(HostBuild[Server Type]="Sun",HostBuild[Server Type]="pSeries"),Support_Direct_Server_Sun_per_OS_2014,IF(HostBuild[Server Type]="x86",Support_Direct_Server_x86_Wintel_per_OS_2014,0))))</f>
        <v>187.1</v>
      </c>
      <c r="FI13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6" spans="1:165" hidden="1">
      <c r="A136" s="122" t="s">
        <v>53</v>
      </c>
      <c r="B136" s="36"/>
      <c r="C136" s="36"/>
      <c r="D136" s="36"/>
      <c r="E136" s="37"/>
      <c r="F136" s="37"/>
      <c r="G136" s="103"/>
      <c r="H136" s="103"/>
      <c r="I136" s="38"/>
      <c r="J136" s="37"/>
      <c r="K136" s="37"/>
      <c r="L136" s="37"/>
      <c r="M136" s="103" t="e">
        <f ca="1">IF(rngIsDate(HostBuild[CTO Acceptance]),"Y","N")</f>
        <v>#NAME?</v>
      </c>
      <c r="N136" s="123" t="s">
        <v>3</v>
      </c>
      <c r="O136" s="39"/>
      <c r="P136" s="39"/>
      <c r="Q136" s="123" t="s">
        <v>192</v>
      </c>
      <c r="R136" s="126" t="str">
        <f>IF(NOT(ISBLANK(HostBuild[Env Label])),IFERROR(VLOOKUP(HostBuild[Env Label],[1]!tEnv[#Data],3,FALSE),""),"")</f>
        <v/>
      </c>
      <c r="S136" s="104"/>
      <c r="T136" s="40"/>
      <c r="U136" s="105"/>
      <c r="V136" s="123" t="s">
        <v>31</v>
      </c>
      <c r="W136" s="123" t="s">
        <v>191</v>
      </c>
      <c r="X136" s="123" t="s">
        <v>99</v>
      </c>
      <c r="Y136" s="123" t="s">
        <v>188</v>
      </c>
      <c r="Z136" s="126" t="str">
        <f>IF(NOT(ISBLANK(HostBuild[[#This Row],[Product 
(Acronym)]])),CONCATENATE(HostBuild[[#This Row],[Type]],"-",HostBuild[[#This Row],[Product 
(Acronym)]]),"")</f>
        <v>DB-CBOL</v>
      </c>
      <c r="AA136" s="106"/>
      <c r="AB136" s="106" t="s">
        <v>76</v>
      </c>
      <c r="AC136" s="41"/>
      <c r="AD136" s="42"/>
      <c r="AE136" s="42"/>
      <c r="AF136" s="43"/>
      <c r="AG136" s="124"/>
      <c r="AH136" s="107"/>
      <c r="AI136" s="124" t="s">
        <v>205</v>
      </c>
      <c r="AJ136" s="123">
        <f>IF(COUNTIF(HostBuild[Alias],HostBuild[Alias]),1/COUNTIF(HostBuild[Alias],HostBuild[Alias]),0)</f>
        <v>1</v>
      </c>
      <c r="AK136" s="124"/>
      <c r="AL136" s="124"/>
      <c r="AM136" s="44" t="s">
        <v>62</v>
      </c>
      <c r="AN136" s="45" t="str">
        <f>IF(NOT(ISBLANK(HostBuild[Server Model])),VLOOKUP(HostBuild[Server Model],[1]!ServerModelsTier[#Data],2,FALSE),"")</f>
        <v>x86 Tier 3</v>
      </c>
      <c r="AO136" s="45" t="str">
        <f>IF(NOT(ISBLANK(HostBuild[Server Model])),VLOOKUP(HostBuild[Server Model],[1]!ServerModelsTier[#Data],5,FALSE),"")</f>
        <v>x86</v>
      </c>
      <c r="AP136" s="44"/>
      <c r="AQ136" s="44" t="s">
        <v>63</v>
      </c>
      <c r="AR136" s="46">
        <v>2</v>
      </c>
      <c r="AS136" s="108"/>
      <c r="AT136" s="47">
        <v>16</v>
      </c>
      <c r="AU136" s="109" t="str">
        <f>IF(IFERROR(FIND("P-Series",HostBuild[Server Tier]),0),CEILING((HostBuild[Existing CPUs]+HostBuild[CPU])*16,8),"")</f>
        <v/>
      </c>
      <c r="AV136" s="48">
        <v>128</v>
      </c>
      <c r="AW136" s="124"/>
      <c r="AX136" s="124"/>
      <c r="AY136" s="124"/>
      <c r="AZ136" s="49"/>
      <c r="BA136" s="124"/>
      <c r="BB136" s="124"/>
      <c r="BC136" s="42"/>
      <c r="BD136" s="124"/>
      <c r="BE136" s="124"/>
      <c r="BF136" s="124"/>
      <c r="BG136" s="124"/>
      <c r="BH136" s="124"/>
      <c r="BI136" s="124"/>
      <c r="BJ136" s="124"/>
      <c r="BK136"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6" s="127">
        <v>1650</v>
      </c>
      <c r="BM136" s="129">
        <f>IF(ISNUMBER(HostBuild[Recommended SAN (GB)]),HostBuild[Recommended SAN (GB)])+IF(HostBuild[Additional SAN (GB)]&gt;0,CEILING(HostBuild[Additional SAN (GB)],LUN),-(CEILING(-HostBuild[Additional SAN (GB)],LUN)))</f>
        <v>1853.5000000000002</v>
      </c>
      <c r="BN136" s="128"/>
      <c r="BO136" s="129">
        <f>HostBuild[SAN (GB)
NEEDED TODAY]+CEILING(HostBuild[SAN (GB)
RESERVED
DO NOT USE TO BUILD], LUN)</f>
        <v>1853.5000000000002</v>
      </c>
      <c r="BP136" s="130">
        <v>1500</v>
      </c>
      <c r="BQ136" s="131"/>
      <c r="BR136" s="125" t="s">
        <v>76</v>
      </c>
      <c r="BS136" s="110">
        <f>IF(HostBuild[Existing Server?]&lt;&gt;"Yes - Inside this BoM",IF(ISNUMBER(HostBuild[RAM 
(GB)]),IF(HostBuild[Existing RAM (GB)]+HostBuild[RAM 
(GB)]&gt;0,IF(HostBuild[Virtual Platform Storage Type]="NAS",110+HostBuild[Existing RAM (GB)]+HostBuild[RAM 
(GB)]*1.75,0),0),0),0)</f>
        <v>0</v>
      </c>
      <c r="BT136" s="111"/>
      <c r="BU136" s="112">
        <f>IF(ISNUMBER(HostBuild[Recommended NAS (GB)]),HostBuild[Recommended NAS (GB)])+HostBuild[Additional NAS (GB)]</f>
        <v>0</v>
      </c>
      <c r="BV136" s="50"/>
      <c r="BW136" s="50"/>
      <c r="BX136" s="133">
        <f>IFERROR((HostBuild[SAN (GB)
End-State
DO NOT USE TO BUILD]+HostBuild[SAN (GB) Shared])*25%,"")</f>
        <v>838.375</v>
      </c>
      <c r="BY136" s="113">
        <f>IFERROR(HostBuild[Archive
Full (GB)]*15%,"")</f>
        <v>125.75624999999999</v>
      </c>
      <c r="BZ136" s="51"/>
      <c r="CA136" s="51"/>
      <c r="CB136" s="52"/>
      <c r="CC136" s="53"/>
      <c r="CD136" s="52"/>
      <c r="CE136" s="54"/>
      <c r="CF136" s="128"/>
      <c r="CG136" s="114"/>
      <c r="CH136" s="55"/>
      <c r="CI136" s="56"/>
      <c r="CJ136" s="57"/>
      <c r="CK136" s="58"/>
      <c r="CL136" s="59">
        <f>IFERROR(IF(FIND(CL$1,$W136)&gt;0,IF(INDEX([1]!Product_Pricing_Table[#Data],MATCH(CL$1,Products,0),2)="Cores",IF(HostBuild[Use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6" s="59">
        <f>IFERROR(IF(FIND(CM$1,$W136)&gt;0,IF(INDEX([1]!Product_Pricing_Table[#Data],MATCH(CM$1,Products,0),2)="Cores",IF(HostBuild[Use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6" s="59">
        <f>IFERROR(IF(FIND(CN$1,$W136)&gt;0,IF(INDEX([1]!Product_Pricing_Table[#Data],MATCH(CN$1,Products,0),2)="Cores",IF(HostBuild[Use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6" s="59">
        <f>IFERROR(IF(FIND(CO$1,$W136)&gt;0,IF(INDEX([1]!Product_Pricing_Table[#Data],MATCH(CO$1,Products,0),2)="Cores",IF(HostBuild[Use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6" s="59">
        <f>IFERROR(IF(FIND(CP$1,$W136)&gt;0,IF(INDEX([1]!Product_Pricing_Table[#Data],MATCH(CP$1,Products,0),2)="Cores",IF(HostBuild[Use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6" s="59">
        <f>IFERROR(IF(FIND(CQ$1,$W136)&gt;0,IF(INDEX([1]!Product_Pricing_Table[#Data],MATCH(CQ$1,Products,0),2)="Cores",IF(HostBuild[Use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6" s="59">
        <f>IFERROR(IF(FIND(CR$1,$W136)&gt;0,IF(INDEX([1]!Product_Pricing_Table[#Data],MATCH(CR$1,Products,0),2)="Cores",IF(HostBuild[Use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6" s="59">
        <f>IFERROR(IF(FIND(CS$1,$W136)&gt;0,IF(INDEX([1]!Product_Pricing_Table[#Data],MATCH(CS$1,Products,0),2)="Cores",IF(HostBuild[Use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6" s="59">
        <f>IFERROR(IF(FIND(CT$1,$W136)&gt;0,IF(INDEX([1]!Product_Pricing_Table[#Data],MATCH(CT$1,Products,0),2)="Cores",IF(HostBuild[Use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6" s="59">
        <f>IFERROR(IF(FIND(CU$1,$W136)&gt;0,IF(INDEX([1]!Product_Pricing_Table[#Data],MATCH(CU$1,Products,0),2)="Cores",IF(HostBuild[Use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6" s="59">
        <f>IFERROR(IF(FIND(CV$1,$W136)&gt;0,IF(INDEX([1]!Product_Pricing_Table[#Data],MATCH(CV$1,Products,0),2)="Cores",IF(HostBuild[Use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6" s="59">
        <f>IFERROR(IF(FIND(CW$1,$W136)&gt;0,IF(INDEX([1]!Product_Pricing_Table[#Data],MATCH(CW$1,Products,0),2)="Cores",IF(HostBuild[Use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6" s="59">
        <f>IFERROR(IF(FIND(CX$1,$W136)&gt;0,IF(INDEX([1]!Product_Pricing_Table[#Data],MATCH(CX$1,Products,0),2)="Cores",IF(HostBuild[Use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6" s="59">
        <f>IFERROR(IF(FIND(CY$1,$W136)&gt;0,IF(INDEX([1]!Product_Pricing_Table[#Data],MATCH(CY$1,Products,0),2)="Cores",IF(HostBuild[Use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6" s="59">
        <f>IFERROR(IF(FIND(CZ$1,$W136)&gt;0,IF(INDEX([1]!Product_Pricing_Table[#Data],MATCH(CZ$1,Products,0),2)="Cores",IF(HostBuild[Use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6" s="59">
        <f>IFERROR(IF(FIND(DA$1,$W136)&gt;0,IF(INDEX([1]!Product_Pricing_Table[#Data],MATCH(DA$1,Products,0),2)="Cores",IF(HostBuild[Use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6" s="59">
        <f>IFERROR(IF(FIND(DB$1,$W136)&gt;0,IF(INDEX([1]!Product_Pricing_Table[#Data],MATCH(DB$1,Products,0),2)="Cores",IF(HostBuild[Use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6" s="59">
        <f>IFERROR(IF(FIND(DC$1,$W136)&gt;0,IF(INDEX([1]!Product_Pricing_Table[#Data],MATCH(DC$1,Products,0),2)="Cores",IF(HostBuild[Use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6" s="59">
        <f>IFERROR(IF(FIND(DD$1,$W136)&gt;0,IF(INDEX([1]!Product_Pricing_Table[#Data],MATCH(DD$1,Products,0),2)="Cores",IF(HostBuild[Use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6" s="59">
        <f>IFERROR(IF(FIND(DE$1,$W136)&gt;0,IF(INDEX([1]!Product_Pricing_Table[#Data],MATCH(DE$1,Products,0),2)="Cores",IF(HostBuild[Use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6" s="60">
        <f>IFERROR(IF(FIND(DF$1,$W136)&gt;0,IF(INDEX([1]!Product_Pricing_Table[#Data],MATCH(DF$1,Products,0),2)="Cores",IF(HostBuild[Use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6" s="60">
        <f>IFERROR(IF(FIND(DG$1,$W136)&gt;0,IF(INDEX([1]!Product_Pricing_Table[#Data],MATCH(DG$1,Products,0),2)="Cores",IF(HostBuild[Use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6" s="59">
        <f>IFERROR(IF(FIND(DH$1,$W136)&gt;0,IF(INDEX([1]!Product_Pricing_Table[#Data],MATCH(DH$1,Products,0),2)="Cores",IF(HostBuild[Use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6" s="60">
        <f>IFERROR(IF(FIND(DI$1,$W136)&gt;0,IF(INDEX([1]!Product_Pricing_Table[#Data],MATCH(DI$1,Products,0),2)="Cores",IF(HostBuild[Use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6" s="59">
        <f>IFERROR(IF(FIND(DJ$1,$W136)&gt;0,IF(INDEX([1]!Product_Pricing_Table[#Data],MATCH(DJ$1,Products,0),2)="Cores",IF(HostBuild[Use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6" s="59">
        <f>IFERROR(IF(FIND(DK$1,$W136)&gt;0,IF(INDEX([1]!Product_Pricing_Table[#Data],MATCH(DK$1,Products,0),2)="Cores",IF(HostBuild[Use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6" s="59">
        <f>IFERROR(IF(FIND(DL$1,$W136)&gt;0,IF(INDEX([1]!Product_Pricing_Table[#Data],MATCH(DL$1,Products,0),2)="Cores",IF(HostBuild[Use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6" s="59">
        <f>IFERROR(IF(FIND(DM$1,$W136)&gt;0,IF(INDEX([1]!Product_Pricing_Table[#Data],MATCH(DM$1,Products,0),2)="Cores",IF(HostBuild[Use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6" s="59">
        <f>IFERROR(IF(FIND(DN$1,$W136)&gt;0,IF(INDEX([1]!Product_Pricing_Table[#Data],MATCH(DN$1,Products,0),2)="Cores",IF(HostBuild[Use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6" s="59">
        <f>IFERROR(IF(FIND(DO$1,$W136)&gt;0,IF(INDEX([1]!Product_Pricing_Table[#Data],MATCH(DO$1,Products,0),2)="Cores",IF(HostBuild[Use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6" s="59">
        <f>IFERROR(IF(FIND(DP$1,$W136)&gt;0,IF(INDEX([1]!Product_Pricing_Table[#Data],MATCH(DP$1,Products,0),2)="Cores",IF(HostBuild[Use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6" s="59">
        <f>IFERROR(IF(FIND(DQ$1,$W136)&gt;0,IF(INDEX([1]!Product_Pricing_Table[#Data],MATCH(DQ$1,Products,0),2)="Cores",IF(HostBuild[Use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6" s="59">
        <f>IFERROR(IF(FIND(DR$1,$W136)&gt;0,IF(INDEX([1]!Product_Pricing_Table[#Data],MATCH(DR$1,Products,0),2)="Cores",IF(HostBuild[Use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6" s="59">
        <f>IFERROR(IF(FIND(DS$1,$W136)&gt;0,IF(INDEX([1]!Product_Pricing_Table[#Data],MATCH(DS$1,Products,0),2)="Cores",IF(HostBuild[Use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6" s="59">
        <f>IFERROR(IF(FIND(DT$1,$W136)&gt;0,IF(INDEX([1]!Product_Pricing_Table[#Data],MATCH(DT$1,Products,0),2)="Cores",IF(HostBuild[Use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6" s="59">
        <f>IFERROR(IF(FIND(DU$1,$W136)&gt;0,IF(INDEX([1]!Product_Pricing_Table[#Data],MATCH(DU$1,Products,0),2)="Cores",IF(HostBuild[Use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6" s="59">
        <f>IFERROR(IF(FIND(DV$1,$W136)&gt;0,IF(INDEX([1]!Product_Pricing_Table[#Data],MATCH(DV$1,Products,0),2)="Cores",IF(HostBuild[Use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36" s="59">
        <f>IFERROR(IF(FIND(DW$1,$W136)&gt;0,IF(INDEX([1]!Product_Pricing_Table[#Data],MATCH(DW$1,Products,0),2)="Cores",IF(HostBuild[Use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6" s="59">
        <f>IFERROR(IF(FIND(DX$1,$W136)&gt;0,IF(INDEX([1]!Product_Pricing_Table[#Data],MATCH(DX$1,Products,0),2)="Cores",IF(HostBuild[Use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6" s="59">
        <f>IFERROR(IF(FIND(DY$1,$W136)&gt;0,IF(INDEX([1]!Product_Pricing_Table[#Data],MATCH(DY$1,Products,0),2)="Cores",IF(HostBuild[Use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6" s="59">
        <f>IFERROR(IF(FIND(DZ$1,$W136)&gt;0,IF(INDEX([1]!Product_Pricing_Table[#Data],MATCH(DZ$1,Products,0),2)="Cores",IF(HostBuild[Use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6" s="59">
        <f>IFERROR(IF(FIND(EA$1,$W136)&gt;0,IF(INDEX([1]!Product_Pricing_Table[#Data],MATCH(EA$1,Products,0),2)="Cores",IF(HostBuild[Use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6" s="59">
        <f>IFERROR(IF(FIND(EB$1,$W136)&gt;0,IF(INDEX([1]!Product_Pricing_Table[#Data],MATCH(EB$1,Products,0),2)="Cores",IF(HostBuild[Use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6" s="60">
        <f>IFERROR(IF(FIND(EC$1,$W136)&gt;0,IF(INDEX([1]!Product_Pricing_Table[#Data],MATCH(EC$1,Products,0),2)="Cores",IF(HostBuild[Use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6" s="59">
        <f>IFERROR(IF(FIND(ED$1,$W136)&gt;0,IF(INDEX([1]!Product_Pricing_Table[#Data],MATCH(ED$1,Products,0),2)="Cores",IF(HostBuild[Use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6" s="59">
        <f>IFERROR(IF(FIND(EE$1,$W136)&gt;0,IF(INDEX([1]!Product_Pricing_Table[#Data],MATCH(EE$1,Products,0),2)="Cores",IF(HostBuild[Use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6" s="59">
        <f>IFERROR(IF(FIND(EF$1,$W136)&gt;0,IF(INDEX([1]!Product_Pricing_Table[#Data],MATCH(EF$1,Products,0),2)="Cores",IF(HostBuild[Use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6" s="59">
        <f>IFERROR(IF(FIND(EG$1,$W136)&gt;0,IF(INDEX([1]!Product_Pricing_Table[#Data],MATCH(EG$1,Products,0),2)="Cores",IF(HostBuild[Use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6" s="59">
        <f>IFERROR(IF(FIND(EH$1,$W136)&gt;0,IF(INDEX([1]!Product_Pricing_Table[#Data],MATCH(EH$1,Products,0),2)="Cores",IF(HostBuild[Use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6" s="59">
        <f>IFERROR(IF(FIND(EI$1,$W136)&gt;0,IF(INDEX([1]!Product_Pricing_Table[#Data],MATCH(EI$1,Products,0),2)="Cores",IF(HostBuild[Use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6" s="59">
        <f>IFERROR(IF(FIND(EJ$1,$W136)&gt;0,IF(INDEX([1]!Product_Pricing_Table[#Data],MATCH(EJ$1,Products,0),2)="Cores",IF(HostBuild[Use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6" s="60">
        <f>IFERROR(IF(FIND(EK$1,$W136)&gt;0,IF(INDEX([1]!Product_Pricing_Table[#Data],MATCH(EK$1,Products,0),2)="Cores",IF(HostBuild[Use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6" s="61"/>
      <c r="EM136" s="62">
        <v>718.61</v>
      </c>
      <c r="EN136" s="63">
        <v>125.82666666666667</v>
      </c>
      <c r="EO136"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2350.5750000000003</v>
      </c>
      <c r="EQ136" s="132">
        <f>(HostBuild[Archive
Full (GB)]+HostBuild[Archive
Incr (GB)])*Storage_DC_Dist_Tape_2014</f>
        <v>337.44593750000001</v>
      </c>
      <c r="ER136" s="132">
        <f>IF(ISNUMBER(HostBuild[Server HW Costs
(Monthly)]),SUM(HostBuild[[#This Row],[Server HW Costs
(Monthly)]:[Tape Costs
(Monthly)]]),0)</f>
        <v>3576.7209375000007</v>
      </c>
      <c r="ES136" s="65">
        <f>HostBuild[Software Costs
'[Year 1']
(Monthly)]+HostBuild[Total Hardware Costs
(Monthly)]</f>
        <v>4295.3309375000008</v>
      </c>
      <c r="ET136" s="65">
        <f>IFERROR(IF(FIND("Safenet",HostBuild[Server Model]),Safenet_PSE_PL600_Maint,0),0)+IFERROR(IF(FIND("XI52",HostBuild[Server Model]),IBM_DIA_XI52_Maint,0),0)+HostBuild[Software Costs
'[After Year 1']
(Monthly)]+HostBuild[Total Hardware Costs
(Monthly)]</f>
        <v>3702.5476041666675</v>
      </c>
      <c r="EU136" s="66">
        <f>SUM(HostBuild[[#This Row],[Server Cost Breakdown]:[Network Cost]])</f>
        <v>888.7</v>
      </c>
      <c r="EV136" s="67">
        <f>IF(HostBuild[Existing Server?]="Yes - Inside this BoM",0,SUMIF(HostBuild[Alias],HostBuild[Alias],HostBuild[CPU])+SUMIF(HostBuild[Alias],HostBuild[Alias],HostBuild[Existing CPUs]))</f>
        <v>2</v>
      </c>
      <c r="EW136" s="67">
        <f>IF(HostBuild[Existing Server?]="Yes - Inside this BoM",0,SUMIF(HostBuild[Alias],HostBuild[Alias],HostBuild[Cores 
(Licensed Units)])+SUMIF(HostBuild[Alias],HostBuild[Alias],HostBuild[Existing Cores]))</f>
        <v>16</v>
      </c>
      <c r="EX136" s="67">
        <f>IF(HostBuild[Existing Server?]="Yes - Inside this BoM",0,SUMIF(HostBuild[Alias],HostBuild[Alias],HostBuild[RAM 
(GB)])+SUMIF(HostBuild[Alias],HostBuild[Alias],HostBuild[Existing RAM (GB)]))</f>
        <v>128</v>
      </c>
      <c r="EY13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6" s="66">
        <f>IF(ISBLANK(HostBuild[Server Model]),0,IF(HostBuild[Server Tier]="VMware",0,VLOOKUP(HostBuild[Server Tier],[1]!ServerTierRates[#Data],2,0))*HostBuild[CPU]*IF(AND(HostBuild[Server Type]="pSeries",HostBuild[Virtual Platform Storage Type]="Cloud-SAN"),0.25,1))</f>
        <v>608</v>
      </c>
      <c r="FD136" s="66">
        <f>0</f>
        <v>0</v>
      </c>
      <c r="FE136" s="66">
        <f>IF(HostBuild[Server Type]="VMware",HostBuild[RAM 
(GB)]*IF(ISERROR(FIND("DevCloud", HostBuild[Server Model])&gt;0),vRAM_per_vCPU_2014_Monthly,vRAM_per_vCPU_2014_Daily*30),0)</f>
        <v>0</v>
      </c>
      <c r="FF13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6" s="69">
        <f>IF(HostBuild[Server Tier]="VMware",0,IF(LEFT(HostBuild[Existing Server?],3)="Yes",0,IF(OR(HostBuild[Server Type]="Sun",HostBuild[Server Type]="pSeries"),Support_Direct_Server_Sun_per_OS_2014,IF(HostBuild[Server Type]="x86",Support_Direct_Server_x86_Wintel_per_OS_2014,0))))</f>
        <v>187.1</v>
      </c>
      <c r="FI13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7" spans="1:165" hidden="1">
      <c r="A137" s="122" t="s">
        <v>53</v>
      </c>
      <c r="B137" s="36"/>
      <c r="C137" s="36"/>
      <c r="D137" s="36"/>
      <c r="E137" s="37"/>
      <c r="F137" s="37"/>
      <c r="G137" s="103"/>
      <c r="H137" s="103"/>
      <c r="I137" s="38"/>
      <c r="J137" s="37"/>
      <c r="K137" s="37"/>
      <c r="L137" s="37"/>
      <c r="M137" s="103" t="e">
        <f ca="1">IF(rngIsDate(HostBuild[CTO Acceptance]),"Y","N")</f>
        <v>#NAME?</v>
      </c>
      <c r="N137" s="123" t="s">
        <v>3</v>
      </c>
      <c r="O137" s="39"/>
      <c r="P137" s="39"/>
      <c r="Q137" s="123" t="s">
        <v>192</v>
      </c>
      <c r="R137" s="126" t="str">
        <f>IF(NOT(ISBLANK(HostBuild[Env Label])),IFERROR(VLOOKUP(HostBuild[Env Label],[1]!tEnv[#Data],3,FALSE),""),"")</f>
        <v/>
      </c>
      <c r="S137" s="104"/>
      <c r="T137" s="40"/>
      <c r="U137" s="105"/>
      <c r="V137" s="123" t="s">
        <v>31</v>
      </c>
      <c r="W137" s="123" t="s">
        <v>191</v>
      </c>
      <c r="X137" s="123" t="s">
        <v>99</v>
      </c>
      <c r="Y137" s="123" t="s">
        <v>188</v>
      </c>
      <c r="Z137" s="126" t="str">
        <f>IF(NOT(ISBLANK(HostBuild[[#This Row],[Product 
(Acronym)]])),CONCATENATE(HostBuild[[#This Row],[Type]],"-",HostBuild[[#This Row],[Product 
(Acronym)]]),"")</f>
        <v>DB-CBOL</v>
      </c>
      <c r="AA137" s="106"/>
      <c r="AB137" s="106" t="s">
        <v>76</v>
      </c>
      <c r="AC137" s="41"/>
      <c r="AD137" s="42"/>
      <c r="AE137" s="42"/>
      <c r="AF137" s="43"/>
      <c r="AG137" s="124"/>
      <c r="AH137" s="107"/>
      <c r="AI137" s="124" t="s">
        <v>206</v>
      </c>
      <c r="AJ137" s="123">
        <f>IF(COUNTIF(HostBuild[Alias],HostBuild[Alias]),1/COUNTIF(HostBuild[Alias],HostBuild[Alias]),0)</f>
        <v>1</v>
      </c>
      <c r="AK137" s="124"/>
      <c r="AL137" s="124"/>
      <c r="AM137" s="44" t="s">
        <v>62</v>
      </c>
      <c r="AN137" s="45" t="str">
        <f>IF(NOT(ISBLANK(HostBuild[Server Model])),VLOOKUP(HostBuild[Server Model],[1]!ServerModelsTier[#Data],2,FALSE),"")</f>
        <v>x86 Tier 3</v>
      </c>
      <c r="AO137" s="45" t="str">
        <f>IF(NOT(ISBLANK(HostBuild[Server Model])),VLOOKUP(HostBuild[Server Model],[1]!ServerModelsTier[#Data],5,FALSE),"")</f>
        <v>x86</v>
      </c>
      <c r="AP137" s="44"/>
      <c r="AQ137" s="44" t="s">
        <v>63</v>
      </c>
      <c r="AR137" s="46">
        <v>2</v>
      </c>
      <c r="AS137" s="108"/>
      <c r="AT137" s="47">
        <v>16</v>
      </c>
      <c r="AU137" s="109" t="str">
        <f>IF(IFERROR(FIND("P-Series",HostBuild[Server Tier]),0),CEILING((HostBuild[Existing CPUs]+HostBuild[CPU])*16,8),"")</f>
        <v/>
      </c>
      <c r="AV137" s="48">
        <v>128</v>
      </c>
      <c r="AW137" s="124"/>
      <c r="AX137" s="124"/>
      <c r="AY137" s="124"/>
      <c r="AZ137" s="49"/>
      <c r="BA137" s="124"/>
      <c r="BB137" s="124"/>
      <c r="BC137" s="42"/>
      <c r="BD137" s="124"/>
      <c r="BE137" s="124"/>
      <c r="BF137" s="124"/>
      <c r="BG137" s="124"/>
      <c r="BH137" s="124"/>
      <c r="BI137" s="124"/>
      <c r="BJ137" s="124"/>
      <c r="BK137"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7" s="127">
        <v>150</v>
      </c>
      <c r="BM137" s="129">
        <f>IF(ISNUMBER(HostBuild[Recommended SAN (GB)]),HostBuild[Recommended SAN (GB)])+IF(HostBuild[Additional SAN (GB)]&gt;0,CEILING(HostBuild[Additional SAN (GB)],LUN),-(CEILING(-HostBuild[Additional SAN (GB)],LUN)))</f>
        <v>370.70000000000005</v>
      </c>
      <c r="BN137" s="128"/>
      <c r="BO137" s="129">
        <f>HostBuild[SAN (GB)
NEEDED TODAY]+CEILING(HostBuild[SAN (GB)
RESERVED
DO NOT USE TO BUILD], LUN)</f>
        <v>370.70000000000005</v>
      </c>
      <c r="BP137" s="130"/>
      <c r="BQ137" s="131"/>
      <c r="BR137" s="125" t="s">
        <v>76</v>
      </c>
      <c r="BS137" s="110">
        <f>IF(HostBuild[Existing Server?]&lt;&gt;"Yes - Inside this BoM",IF(ISNUMBER(HostBuild[RAM 
(GB)]),IF(HostBuild[Existing RAM (GB)]+HostBuild[RAM 
(GB)]&gt;0,IF(HostBuild[Virtual Platform Storage Type]="NAS",110+HostBuild[Existing RAM (GB)]+HostBuild[RAM 
(GB)]*1.75,0),0),0),0)</f>
        <v>0</v>
      </c>
      <c r="BT137" s="111"/>
      <c r="BU137" s="112">
        <f>IF(ISNUMBER(HostBuild[Recommended NAS (GB)]),HostBuild[Recommended NAS (GB)])+HostBuild[Additional NAS (GB)]</f>
        <v>0</v>
      </c>
      <c r="BV137" s="50"/>
      <c r="BW137" s="50"/>
      <c r="BX137" s="133">
        <f>IFERROR((HostBuild[SAN (GB)
End-State
DO NOT USE TO BUILD]+HostBuild[SAN (GB) Shared])*25%,"")</f>
        <v>92.675000000000011</v>
      </c>
      <c r="BY137" s="113">
        <f>IFERROR(HostBuild[Archive
Full (GB)]*15%,"")</f>
        <v>13.901250000000001</v>
      </c>
      <c r="BZ137" s="51"/>
      <c r="CA137" s="51"/>
      <c r="CB137" s="52"/>
      <c r="CC137" s="53"/>
      <c r="CD137" s="52"/>
      <c r="CE137" s="54"/>
      <c r="CF137" s="128"/>
      <c r="CG137" s="114"/>
      <c r="CH137" s="55"/>
      <c r="CI137" s="56"/>
      <c r="CJ137" s="57"/>
      <c r="CK137" s="58"/>
      <c r="CL137" s="59">
        <f>IFERROR(IF(FIND(CL$1,$W137)&gt;0,IF(INDEX([1]!Product_Pricing_Table[#Data],MATCH(CL$1,Products,0),2)="Cores",IF(HostBuild[Use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7" s="59">
        <f>IFERROR(IF(FIND(CM$1,$W137)&gt;0,IF(INDEX([1]!Product_Pricing_Table[#Data],MATCH(CM$1,Products,0),2)="Cores",IF(HostBuild[Use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7" s="59">
        <f>IFERROR(IF(FIND(CN$1,$W137)&gt;0,IF(INDEX([1]!Product_Pricing_Table[#Data],MATCH(CN$1,Products,0),2)="Cores",IF(HostBuild[Use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7" s="59">
        <f>IFERROR(IF(FIND(CO$1,$W137)&gt;0,IF(INDEX([1]!Product_Pricing_Table[#Data],MATCH(CO$1,Products,0),2)="Cores",IF(HostBuild[Use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7" s="59">
        <f>IFERROR(IF(FIND(CP$1,$W137)&gt;0,IF(INDEX([1]!Product_Pricing_Table[#Data],MATCH(CP$1,Products,0),2)="Cores",IF(HostBuild[Use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7" s="59">
        <f>IFERROR(IF(FIND(CQ$1,$W137)&gt;0,IF(INDEX([1]!Product_Pricing_Table[#Data],MATCH(CQ$1,Products,0),2)="Cores",IF(HostBuild[Use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7" s="59">
        <f>IFERROR(IF(FIND(CR$1,$W137)&gt;0,IF(INDEX([1]!Product_Pricing_Table[#Data],MATCH(CR$1,Products,0),2)="Cores",IF(HostBuild[Use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7" s="59">
        <f>IFERROR(IF(FIND(CS$1,$W137)&gt;0,IF(INDEX([1]!Product_Pricing_Table[#Data],MATCH(CS$1,Products,0),2)="Cores",IF(HostBuild[Use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7" s="59">
        <f>IFERROR(IF(FIND(CT$1,$W137)&gt;0,IF(INDEX([1]!Product_Pricing_Table[#Data],MATCH(CT$1,Products,0),2)="Cores",IF(HostBuild[Use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7" s="59">
        <f>IFERROR(IF(FIND(CU$1,$W137)&gt;0,IF(INDEX([1]!Product_Pricing_Table[#Data],MATCH(CU$1,Products,0),2)="Cores",IF(HostBuild[Use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7" s="59">
        <f>IFERROR(IF(FIND(CV$1,$W137)&gt;0,IF(INDEX([1]!Product_Pricing_Table[#Data],MATCH(CV$1,Products,0),2)="Cores",IF(HostBuild[Use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7" s="59">
        <f>IFERROR(IF(FIND(CW$1,$W137)&gt;0,IF(INDEX([1]!Product_Pricing_Table[#Data],MATCH(CW$1,Products,0),2)="Cores",IF(HostBuild[Use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7" s="59">
        <f>IFERROR(IF(FIND(CX$1,$W137)&gt;0,IF(INDEX([1]!Product_Pricing_Table[#Data],MATCH(CX$1,Products,0),2)="Cores",IF(HostBuild[Use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7" s="59">
        <f>IFERROR(IF(FIND(CY$1,$W137)&gt;0,IF(INDEX([1]!Product_Pricing_Table[#Data],MATCH(CY$1,Products,0),2)="Cores",IF(HostBuild[Use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7" s="59">
        <f>IFERROR(IF(FIND(CZ$1,$W137)&gt;0,IF(INDEX([1]!Product_Pricing_Table[#Data],MATCH(CZ$1,Products,0),2)="Cores",IF(HostBuild[Use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7" s="59">
        <f>IFERROR(IF(FIND(DA$1,$W137)&gt;0,IF(INDEX([1]!Product_Pricing_Table[#Data],MATCH(DA$1,Products,0),2)="Cores",IF(HostBuild[Use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7" s="59">
        <f>IFERROR(IF(FIND(DB$1,$W137)&gt;0,IF(INDEX([1]!Product_Pricing_Table[#Data],MATCH(DB$1,Products,0),2)="Cores",IF(HostBuild[Use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7" s="59">
        <f>IFERROR(IF(FIND(DC$1,$W137)&gt;0,IF(INDEX([1]!Product_Pricing_Table[#Data],MATCH(DC$1,Products,0),2)="Cores",IF(HostBuild[Use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7" s="59">
        <f>IFERROR(IF(FIND(DD$1,$W137)&gt;0,IF(INDEX([1]!Product_Pricing_Table[#Data],MATCH(DD$1,Products,0),2)="Cores",IF(HostBuild[Use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7" s="59">
        <f>IFERROR(IF(FIND(DE$1,$W137)&gt;0,IF(INDEX([1]!Product_Pricing_Table[#Data],MATCH(DE$1,Products,0),2)="Cores",IF(HostBuild[Use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7" s="60">
        <f>IFERROR(IF(FIND(DF$1,$W137)&gt;0,IF(INDEX([1]!Product_Pricing_Table[#Data],MATCH(DF$1,Products,0),2)="Cores",IF(HostBuild[Use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7" s="60">
        <f>IFERROR(IF(FIND(DG$1,$W137)&gt;0,IF(INDEX([1]!Product_Pricing_Table[#Data],MATCH(DG$1,Products,0),2)="Cores",IF(HostBuild[Use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7" s="59">
        <f>IFERROR(IF(FIND(DH$1,$W137)&gt;0,IF(INDEX([1]!Product_Pricing_Table[#Data],MATCH(DH$1,Products,0),2)="Cores",IF(HostBuild[Use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7" s="60">
        <f>IFERROR(IF(FIND(DI$1,$W137)&gt;0,IF(INDEX([1]!Product_Pricing_Table[#Data],MATCH(DI$1,Products,0),2)="Cores",IF(HostBuild[Use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7" s="59">
        <f>IFERROR(IF(FIND(DJ$1,$W137)&gt;0,IF(INDEX([1]!Product_Pricing_Table[#Data],MATCH(DJ$1,Products,0),2)="Cores",IF(HostBuild[Use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7" s="59">
        <f>IFERROR(IF(FIND(DK$1,$W137)&gt;0,IF(INDEX([1]!Product_Pricing_Table[#Data],MATCH(DK$1,Products,0),2)="Cores",IF(HostBuild[Use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7" s="59">
        <f>IFERROR(IF(FIND(DL$1,$W137)&gt;0,IF(INDEX([1]!Product_Pricing_Table[#Data],MATCH(DL$1,Products,0),2)="Cores",IF(HostBuild[Use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7" s="59">
        <f>IFERROR(IF(FIND(DM$1,$W137)&gt;0,IF(INDEX([1]!Product_Pricing_Table[#Data],MATCH(DM$1,Products,0),2)="Cores",IF(HostBuild[Use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7" s="59">
        <f>IFERROR(IF(FIND(DN$1,$W137)&gt;0,IF(INDEX([1]!Product_Pricing_Table[#Data],MATCH(DN$1,Products,0),2)="Cores",IF(HostBuild[Use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7" s="59">
        <f>IFERROR(IF(FIND(DO$1,$W137)&gt;0,IF(INDEX([1]!Product_Pricing_Table[#Data],MATCH(DO$1,Products,0),2)="Cores",IF(HostBuild[Use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7" s="59">
        <f>IFERROR(IF(FIND(DP$1,$W137)&gt;0,IF(INDEX([1]!Product_Pricing_Table[#Data],MATCH(DP$1,Products,0),2)="Cores",IF(HostBuild[Use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7" s="59">
        <f>IFERROR(IF(FIND(DQ$1,$W137)&gt;0,IF(INDEX([1]!Product_Pricing_Table[#Data],MATCH(DQ$1,Products,0),2)="Cores",IF(HostBuild[Use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7" s="59">
        <f>IFERROR(IF(FIND(DR$1,$W137)&gt;0,IF(INDEX([1]!Product_Pricing_Table[#Data],MATCH(DR$1,Products,0),2)="Cores",IF(HostBuild[Use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7" s="59">
        <f>IFERROR(IF(FIND(DS$1,$W137)&gt;0,IF(INDEX([1]!Product_Pricing_Table[#Data],MATCH(DS$1,Products,0),2)="Cores",IF(HostBuild[Use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7" s="59">
        <f>IFERROR(IF(FIND(DT$1,$W137)&gt;0,IF(INDEX([1]!Product_Pricing_Table[#Data],MATCH(DT$1,Products,0),2)="Cores",IF(HostBuild[Use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7" s="59">
        <f>IFERROR(IF(FIND(DU$1,$W137)&gt;0,IF(INDEX([1]!Product_Pricing_Table[#Data],MATCH(DU$1,Products,0),2)="Cores",IF(HostBuild[Use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7" s="59">
        <f>IFERROR(IF(FIND(DV$1,$W137)&gt;0,IF(INDEX([1]!Product_Pricing_Table[#Data],MATCH(DV$1,Products,0),2)="Cores",IF(HostBuild[Use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37" s="59">
        <f>IFERROR(IF(FIND(DW$1,$W137)&gt;0,IF(INDEX([1]!Product_Pricing_Table[#Data],MATCH(DW$1,Products,0),2)="Cores",IF(HostBuild[Use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7" s="59">
        <f>IFERROR(IF(FIND(DX$1,$W137)&gt;0,IF(INDEX([1]!Product_Pricing_Table[#Data],MATCH(DX$1,Products,0),2)="Cores",IF(HostBuild[Use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7" s="59">
        <f>IFERROR(IF(FIND(DY$1,$W137)&gt;0,IF(INDEX([1]!Product_Pricing_Table[#Data],MATCH(DY$1,Products,0),2)="Cores",IF(HostBuild[Use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7" s="59">
        <f>IFERROR(IF(FIND(DZ$1,$W137)&gt;0,IF(INDEX([1]!Product_Pricing_Table[#Data],MATCH(DZ$1,Products,0),2)="Cores",IF(HostBuild[Use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7" s="59">
        <f>IFERROR(IF(FIND(EA$1,$W137)&gt;0,IF(INDEX([1]!Product_Pricing_Table[#Data],MATCH(EA$1,Products,0),2)="Cores",IF(HostBuild[Use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7" s="59">
        <f>IFERROR(IF(FIND(EB$1,$W137)&gt;0,IF(INDEX([1]!Product_Pricing_Table[#Data],MATCH(EB$1,Products,0),2)="Cores",IF(HostBuild[Use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7" s="60">
        <f>IFERROR(IF(FIND(EC$1,$W137)&gt;0,IF(INDEX([1]!Product_Pricing_Table[#Data],MATCH(EC$1,Products,0),2)="Cores",IF(HostBuild[Use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7" s="59">
        <f>IFERROR(IF(FIND(ED$1,$W137)&gt;0,IF(INDEX([1]!Product_Pricing_Table[#Data],MATCH(ED$1,Products,0),2)="Cores",IF(HostBuild[Use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7" s="59">
        <f>IFERROR(IF(FIND(EE$1,$W137)&gt;0,IF(INDEX([1]!Product_Pricing_Table[#Data],MATCH(EE$1,Products,0),2)="Cores",IF(HostBuild[Use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7" s="59">
        <f>IFERROR(IF(FIND(EF$1,$W137)&gt;0,IF(INDEX([1]!Product_Pricing_Table[#Data],MATCH(EF$1,Products,0),2)="Cores",IF(HostBuild[Use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7" s="59">
        <f>IFERROR(IF(FIND(EG$1,$W137)&gt;0,IF(INDEX([1]!Product_Pricing_Table[#Data],MATCH(EG$1,Products,0),2)="Cores",IF(HostBuild[Use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7" s="59">
        <f>IFERROR(IF(FIND(EH$1,$W137)&gt;0,IF(INDEX([1]!Product_Pricing_Table[#Data],MATCH(EH$1,Products,0),2)="Cores",IF(HostBuild[Use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7" s="59">
        <f>IFERROR(IF(FIND(EI$1,$W137)&gt;0,IF(INDEX([1]!Product_Pricing_Table[#Data],MATCH(EI$1,Products,0),2)="Cores",IF(HostBuild[Use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7" s="59">
        <f>IFERROR(IF(FIND(EJ$1,$W137)&gt;0,IF(INDEX([1]!Product_Pricing_Table[#Data],MATCH(EJ$1,Products,0),2)="Cores",IF(HostBuild[Use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7" s="60">
        <f>IFERROR(IF(FIND(EK$1,$W137)&gt;0,IF(INDEX([1]!Product_Pricing_Table[#Data],MATCH(EK$1,Products,0),2)="Cores",IF(HostBuild[Use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7" s="61"/>
      <c r="EM137" s="62">
        <v>718.61</v>
      </c>
      <c r="EN137" s="63">
        <v>125.82666666666667</v>
      </c>
      <c r="EO137"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166.81500000000003</v>
      </c>
      <c r="EQ137" s="132">
        <f>(HostBuild[Archive
Full (GB)]+HostBuild[Archive
Incr (GB)])*Storage_DC_Dist_Tape_2014</f>
        <v>37.3016875</v>
      </c>
      <c r="ER137" s="132">
        <f>IF(ISNUMBER(HostBuild[Server HW Costs
(Monthly)]),SUM(HostBuild[[#This Row],[Server HW Costs
(Monthly)]:[Tape Costs
(Monthly)]]),0)</f>
        <v>1092.8166875000002</v>
      </c>
      <c r="ES137" s="65">
        <f>HostBuild[Software Costs
'[Year 1']
(Monthly)]+HostBuild[Total Hardware Costs
(Monthly)]</f>
        <v>1811.4266875000003</v>
      </c>
      <c r="ET137" s="65">
        <f>IFERROR(IF(FIND("Safenet",HostBuild[Server Model]),Safenet_PSE_PL600_Maint,0),0)+IFERROR(IF(FIND("XI52",HostBuild[Server Model]),IBM_DIA_XI52_Maint,0),0)+HostBuild[Software Costs
'[After Year 1']
(Monthly)]+HostBuild[Total Hardware Costs
(Monthly)]</f>
        <v>1218.6433541666668</v>
      </c>
      <c r="EU137" s="66">
        <f>SUM(HostBuild[[#This Row],[Server Cost Breakdown]:[Network Cost]])</f>
        <v>888.7</v>
      </c>
      <c r="EV137" s="67">
        <f>IF(HostBuild[Existing Server?]="Yes - Inside this BoM",0,SUMIF(HostBuild[Alias],HostBuild[Alias],HostBuild[CPU])+SUMIF(HostBuild[Alias],HostBuild[Alias],HostBuild[Existing CPUs]))</f>
        <v>2</v>
      </c>
      <c r="EW137" s="67">
        <f>IF(HostBuild[Existing Server?]="Yes - Inside this BoM",0,SUMIF(HostBuild[Alias],HostBuild[Alias],HostBuild[Cores 
(Licensed Units)])+SUMIF(HostBuild[Alias],HostBuild[Alias],HostBuild[Existing Cores]))</f>
        <v>16</v>
      </c>
      <c r="EX137" s="67">
        <f>IF(HostBuild[Existing Server?]="Yes - Inside this BoM",0,SUMIF(HostBuild[Alias],HostBuild[Alias],HostBuild[RAM 
(GB)])+SUMIF(HostBuild[Alias],HostBuild[Alias],HostBuild[Existing RAM (GB)]))</f>
        <v>128</v>
      </c>
      <c r="EY13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7" s="66">
        <f>IF(ISBLANK(HostBuild[Server Model]),0,IF(HostBuild[Server Tier]="VMware",0,VLOOKUP(HostBuild[Server Tier],[1]!ServerTierRates[#Data],2,0))*HostBuild[CPU]*IF(AND(HostBuild[Server Type]="pSeries",HostBuild[Virtual Platform Storage Type]="Cloud-SAN"),0.25,1))</f>
        <v>608</v>
      </c>
      <c r="FD137" s="66">
        <f>0</f>
        <v>0</v>
      </c>
      <c r="FE137" s="66">
        <f>IF(HostBuild[Server Type]="VMware",HostBuild[RAM 
(GB)]*IF(ISERROR(FIND("DevCloud", HostBuild[Server Model])&gt;0),vRAM_per_vCPU_2014_Monthly,vRAM_per_vCPU_2014_Daily*30),0)</f>
        <v>0</v>
      </c>
      <c r="FF13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7" s="69">
        <f>IF(HostBuild[Server Tier]="VMware",0,IF(LEFT(HostBuild[Existing Server?],3)="Yes",0,IF(OR(HostBuild[Server Type]="Sun",HostBuild[Server Type]="pSeries"),Support_Direct_Server_Sun_per_OS_2014,IF(HostBuild[Server Type]="x86",Support_Direct_Server_x86_Wintel_per_OS_2014,0))))</f>
        <v>187.1</v>
      </c>
      <c r="FI13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8" spans="1:165" hidden="1">
      <c r="A138" s="122" t="s">
        <v>53</v>
      </c>
      <c r="B138" s="36"/>
      <c r="C138" s="36"/>
      <c r="D138" s="36"/>
      <c r="E138" s="37"/>
      <c r="F138" s="37"/>
      <c r="G138" s="103"/>
      <c r="H138" s="103"/>
      <c r="I138" s="38"/>
      <c r="J138" s="37"/>
      <c r="K138" s="37"/>
      <c r="L138" s="37"/>
      <c r="M138" s="103" t="e">
        <f ca="1">IF(rngIsDate(HostBuild[CTO Acceptance]),"Y","N")</f>
        <v>#NAME?</v>
      </c>
      <c r="N138" s="123" t="s">
        <v>4</v>
      </c>
      <c r="O138" s="39"/>
      <c r="P138" s="39"/>
      <c r="Q138" s="123" t="s">
        <v>192</v>
      </c>
      <c r="R138" s="126" t="str">
        <f>IF(NOT(ISBLANK(HostBuild[Env Label])),IFERROR(VLOOKUP(HostBuild[Env Label],[1]!tEnv[#Data],3,FALSE),""),"")</f>
        <v/>
      </c>
      <c r="S138" s="104"/>
      <c r="T138" s="40"/>
      <c r="U138" s="105"/>
      <c r="V138" s="123" t="s">
        <v>34</v>
      </c>
      <c r="W138" s="123" t="s">
        <v>191</v>
      </c>
      <c r="X138" s="123" t="s">
        <v>99</v>
      </c>
      <c r="Y138" s="123" t="s">
        <v>188</v>
      </c>
      <c r="Z138" s="126" t="str">
        <f>IF(NOT(ISBLANK(HostBuild[[#This Row],[Product 
(Acronym)]])),CONCATENATE(HostBuild[[#This Row],[Type]],"-",HostBuild[[#This Row],[Product 
(Acronym)]]),"")</f>
        <v>DB-CBOL</v>
      </c>
      <c r="AA138" s="106"/>
      <c r="AB138" s="106" t="s">
        <v>76</v>
      </c>
      <c r="AC138" s="41"/>
      <c r="AD138" s="42"/>
      <c r="AE138" s="42"/>
      <c r="AF138" s="43"/>
      <c r="AG138" s="124"/>
      <c r="AH138" s="107"/>
      <c r="AI138" s="124" t="s">
        <v>207</v>
      </c>
      <c r="AJ138" s="123">
        <f>IF(COUNTIF(HostBuild[Alias],HostBuild[Alias]),1/COUNTIF(HostBuild[Alias],HostBuild[Alias]),0)</f>
        <v>1</v>
      </c>
      <c r="AK138" s="124"/>
      <c r="AL138" s="124"/>
      <c r="AM138" s="44" t="s">
        <v>62</v>
      </c>
      <c r="AN138" s="45" t="str">
        <f>IF(NOT(ISBLANK(HostBuild[Server Model])),VLOOKUP(HostBuild[Server Model],[1]!ServerModelsTier[#Data],2,FALSE),"")</f>
        <v>x86 Tier 3</v>
      </c>
      <c r="AO138" s="45" t="str">
        <f>IF(NOT(ISBLANK(HostBuild[Server Model])),VLOOKUP(HostBuild[Server Model],[1]!ServerModelsTier[#Data],5,FALSE),"")</f>
        <v>x86</v>
      </c>
      <c r="AP138" s="44"/>
      <c r="AQ138" s="44" t="s">
        <v>63</v>
      </c>
      <c r="AR138" s="46">
        <v>2</v>
      </c>
      <c r="AS138" s="108"/>
      <c r="AT138" s="47">
        <v>16</v>
      </c>
      <c r="AU138" s="109"/>
      <c r="AV138" s="48">
        <v>128</v>
      </c>
      <c r="AW138" s="124"/>
      <c r="AX138" s="124"/>
      <c r="AY138" s="124"/>
      <c r="AZ138" s="49"/>
      <c r="BA138" s="124"/>
      <c r="BB138" s="124"/>
      <c r="BC138" s="42"/>
      <c r="BD138" s="124"/>
      <c r="BE138" s="124"/>
      <c r="BF138" s="124"/>
      <c r="BG138" s="124"/>
      <c r="BH138" s="124"/>
      <c r="BI138" s="124"/>
      <c r="BJ138" s="124"/>
      <c r="BK138"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8" s="127">
        <v>1650</v>
      </c>
      <c r="BM138" s="129">
        <f>IF(ISNUMBER(HostBuild[Recommended SAN (GB)]),HostBuild[Recommended SAN (GB)])+IF(HostBuild[Additional SAN (GB)]&gt;0,CEILING(HostBuild[Additional SAN (GB)],LUN),-(CEILING(-HostBuild[Additional SAN (GB)],LUN)))</f>
        <v>1853.5000000000002</v>
      </c>
      <c r="BN138" s="128"/>
      <c r="BO138" s="129">
        <f>HostBuild[SAN (GB)
NEEDED TODAY]+CEILING(HostBuild[SAN (GB)
RESERVED
DO NOT USE TO BUILD], LUN)</f>
        <v>1853.5000000000002</v>
      </c>
      <c r="BP138" s="130">
        <v>1500</v>
      </c>
      <c r="BQ138" s="131"/>
      <c r="BR138" s="125" t="s">
        <v>76</v>
      </c>
      <c r="BS138" s="110">
        <f>IF(HostBuild[Existing Server?]&lt;&gt;"Yes - Inside this BoM",IF(ISNUMBER(HostBuild[RAM 
(GB)]),IF(HostBuild[Existing RAM (GB)]+HostBuild[RAM 
(GB)]&gt;0,IF(HostBuild[Virtual Platform Storage Type]="NAS",110+HostBuild[Existing RAM (GB)]+HostBuild[RAM 
(GB)]*1.75,0),0),0),0)</f>
        <v>0</v>
      </c>
      <c r="BT138" s="111"/>
      <c r="BU138" s="112">
        <f>IF(ISNUMBER(HostBuild[Recommended NAS (GB)]),HostBuild[Recommended NAS (GB)])+HostBuild[Additional NAS (GB)]</f>
        <v>0</v>
      </c>
      <c r="BV138" s="50"/>
      <c r="BW138" s="50"/>
      <c r="BX138" s="133">
        <f>IFERROR((HostBuild[SAN (GB)
End-State
DO NOT USE TO BUILD]+HostBuild[SAN (GB) Shared])*25%,"")</f>
        <v>838.375</v>
      </c>
      <c r="BY138" s="113">
        <f>IFERROR(HostBuild[Archive
Full (GB)]*15%,"")</f>
        <v>125.75624999999999</v>
      </c>
      <c r="BZ138" s="51"/>
      <c r="CA138" s="51"/>
      <c r="CB138" s="52"/>
      <c r="CC138" s="53"/>
      <c r="CD138" s="52"/>
      <c r="CE138" s="54"/>
      <c r="CF138" s="128"/>
      <c r="CG138" s="114"/>
      <c r="CH138" s="55"/>
      <c r="CI138" s="56"/>
      <c r="CJ138" s="57"/>
      <c r="CK138" s="58"/>
      <c r="CL138" s="59">
        <f>IFERROR(IF(FIND(CL$1,$W138)&gt;0,IF(INDEX([1]!Product_Pricing_Table[#Data],MATCH(CL$1,Products,0),2)="Cores",IF(HostBuild[Use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8" s="59">
        <f>IFERROR(IF(FIND(CM$1,$W138)&gt;0,IF(INDEX([1]!Product_Pricing_Table[#Data],MATCH(CM$1,Products,0),2)="Cores",IF(HostBuild[Use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8" s="59">
        <f>IFERROR(IF(FIND(CN$1,$W138)&gt;0,IF(INDEX([1]!Product_Pricing_Table[#Data],MATCH(CN$1,Products,0),2)="Cores",IF(HostBuild[Use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8" s="59">
        <f>IFERROR(IF(FIND(CO$1,$W138)&gt;0,IF(INDEX([1]!Product_Pricing_Table[#Data],MATCH(CO$1,Products,0),2)="Cores",IF(HostBuild[Use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8" s="59">
        <f>IFERROR(IF(FIND(CP$1,$W138)&gt;0,IF(INDEX([1]!Product_Pricing_Table[#Data],MATCH(CP$1,Products,0),2)="Cores",IF(HostBuild[Use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8" s="59">
        <f>IFERROR(IF(FIND(CQ$1,$W138)&gt;0,IF(INDEX([1]!Product_Pricing_Table[#Data],MATCH(CQ$1,Products,0),2)="Cores",IF(HostBuild[Use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8" s="59">
        <f>IFERROR(IF(FIND(CR$1,$W138)&gt;0,IF(INDEX([1]!Product_Pricing_Table[#Data],MATCH(CR$1,Products,0),2)="Cores",IF(HostBuild[Use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8" s="59">
        <f>IFERROR(IF(FIND(CS$1,$W138)&gt;0,IF(INDEX([1]!Product_Pricing_Table[#Data],MATCH(CS$1,Products,0),2)="Cores",IF(HostBuild[Use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8" s="59">
        <f>IFERROR(IF(FIND(CT$1,$W138)&gt;0,IF(INDEX([1]!Product_Pricing_Table[#Data],MATCH(CT$1,Products,0),2)="Cores",IF(HostBuild[Use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8" s="59">
        <f>IFERROR(IF(FIND(CU$1,$W138)&gt;0,IF(INDEX([1]!Product_Pricing_Table[#Data],MATCH(CU$1,Products,0),2)="Cores",IF(HostBuild[Use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8" s="59">
        <f>IFERROR(IF(FIND(CV$1,$W138)&gt;0,IF(INDEX([1]!Product_Pricing_Table[#Data],MATCH(CV$1,Products,0),2)="Cores",IF(HostBuild[Use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8" s="59">
        <f>IFERROR(IF(FIND(CW$1,$W138)&gt;0,IF(INDEX([1]!Product_Pricing_Table[#Data],MATCH(CW$1,Products,0),2)="Cores",IF(HostBuild[Use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8" s="59">
        <f>IFERROR(IF(FIND(CX$1,$W138)&gt;0,IF(INDEX([1]!Product_Pricing_Table[#Data],MATCH(CX$1,Products,0),2)="Cores",IF(HostBuild[Use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8" s="59">
        <f>IFERROR(IF(FIND(CY$1,$W138)&gt;0,IF(INDEX([1]!Product_Pricing_Table[#Data],MATCH(CY$1,Products,0),2)="Cores",IF(HostBuild[Use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8" s="59">
        <f>IFERROR(IF(FIND(CZ$1,$W138)&gt;0,IF(INDEX([1]!Product_Pricing_Table[#Data],MATCH(CZ$1,Products,0),2)="Cores",IF(HostBuild[Use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8" s="59">
        <f>IFERROR(IF(FIND(DA$1,$W138)&gt;0,IF(INDEX([1]!Product_Pricing_Table[#Data],MATCH(DA$1,Products,0),2)="Cores",IF(HostBuild[Use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8" s="59">
        <f>IFERROR(IF(FIND(DB$1,$W138)&gt;0,IF(INDEX([1]!Product_Pricing_Table[#Data],MATCH(DB$1,Products,0),2)="Cores",IF(HostBuild[Use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8" s="59">
        <f>IFERROR(IF(FIND(DC$1,$W138)&gt;0,IF(INDEX([1]!Product_Pricing_Table[#Data],MATCH(DC$1,Products,0),2)="Cores",IF(HostBuild[Use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8" s="59">
        <f>IFERROR(IF(FIND(DD$1,$W138)&gt;0,IF(INDEX([1]!Product_Pricing_Table[#Data],MATCH(DD$1,Products,0),2)="Cores",IF(HostBuild[Use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8" s="59">
        <f>IFERROR(IF(FIND(DE$1,$W138)&gt;0,IF(INDEX([1]!Product_Pricing_Table[#Data],MATCH(DE$1,Products,0),2)="Cores",IF(HostBuild[Use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8" s="60">
        <f>IFERROR(IF(FIND(DF$1,$W138)&gt;0,IF(INDEX([1]!Product_Pricing_Table[#Data],MATCH(DF$1,Products,0),2)="Cores",IF(HostBuild[Use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8" s="60">
        <f>IFERROR(IF(FIND(DG$1,$W138)&gt;0,IF(INDEX([1]!Product_Pricing_Table[#Data],MATCH(DG$1,Products,0),2)="Cores",IF(HostBuild[Use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8" s="59">
        <f>IFERROR(IF(FIND(DH$1,$W138)&gt;0,IF(INDEX([1]!Product_Pricing_Table[#Data],MATCH(DH$1,Products,0),2)="Cores",IF(HostBuild[Use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8" s="60">
        <f>IFERROR(IF(FIND(DI$1,$W138)&gt;0,IF(INDEX([1]!Product_Pricing_Table[#Data],MATCH(DI$1,Products,0),2)="Cores",IF(HostBuild[Use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8" s="59">
        <f>IFERROR(IF(FIND(DJ$1,$W138)&gt;0,IF(INDEX([1]!Product_Pricing_Table[#Data],MATCH(DJ$1,Products,0),2)="Cores",IF(HostBuild[Use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8" s="59">
        <f>IFERROR(IF(FIND(DK$1,$W138)&gt;0,IF(INDEX([1]!Product_Pricing_Table[#Data],MATCH(DK$1,Products,0),2)="Cores",IF(HostBuild[Use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8" s="59">
        <f>IFERROR(IF(FIND(DL$1,$W138)&gt;0,IF(INDEX([1]!Product_Pricing_Table[#Data],MATCH(DL$1,Products,0),2)="Cores",IF(HostBuild[Use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8" s="59">
        <f>IFERROR(IF(FIND(DM$1,$W138)&gt;0,IF(INDEX([1]!Product_Pricing_Table[#Data],MATCH(DM$1,Products,0),2)="Cores",IF(HostBuild[Use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8" s="59">
        <f>IFERROR(IF(FIND(DN$1,$W138)&gt;0,IF(INDEX([1]!Product_Pricing_Table[#Data],MATCH(DN$1,Products,0),2)="Cores",IF(HostBuild[Use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8" s="59">
        <f>IFERROR(IF(FIND(DO$1,$W138)&gt;0,IF(INDEX([1]!Product_Pricing_Table[#Data],MATCH(DO$1,Products,0),2)="Cores",IF(HostBuild[Use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8" s="59">
        <f>IFERROR(IF(FIND(DP$1,$W138)&gt;0,IF(INDEX([1]!Product_Pricing_Table[#Data],MATCH(DP$1,Products,0),2)="Cores",IF(HostBuild[Use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8" s="59">
        <f>IFERROR(IF(FIND(DQ$1,$W138)&gt;0,IF(INDEX([1]!Product_Pricing_Table[#Data],MATCH(DQ$1,Products,0),2)="Cores",IF(HostBuild[Use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8" s="59">
        <f>IFERROR(IF(FIND(DR$1,$W138)&gt;0,IF(INDEX([1]!Product_Pricing_Table[#Data],MATCH(DR$1,Products,0),2)="Cores",IF(HostBuild[Use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8" s="59">
        <f>IFERROR(IF(FIND(DS$1,$W138)&gt;0,IF(INDEX([1]!Product_Pricing_Table[#Data],MATCH(DS$1,Products,0),2)="Cores",IF(HostBuild[Use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8" s="59">
        <f>IFERROR(IF(FIND(DT$1,$W138)&gt;0,IF(INDEX([1]!Product_Pricing_Table[#Data],MATCH(DT$1,Products,0),2)="Cores",IF(HostBuild[Use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8" s="59">
        <f>IFERROR(IF(FIND(DU$1,$W138)&gt;0,IF(INDEX([1]!Product_Pricing_Table[#Data],MATCH(DU$1,Products,0),2)="Cores",IF(HostBuild[Use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8" s="59">
        <f>IFERROR(IF(FIND(DV$1,$W138)&gt;0,IF(INDEX([1]!Product_Pricing_Table[#Data],MATCH(DV$1,Products,0),2)="Cores",IF(HostBuild[Use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38" s="59">
        <f>IFERROR(IF(FIND(DW$1,$W138)&gt;0,IF(INDEX([1]!Product_Pricing_Table[#Data],MATCH(DW$1,Products,0),2)="Cores",IF(HostBuild[Use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8" s="59">
        <f>IFERROR(IF(FIND(DX$1,$W138)&gt;0,IF(INDEX([1]!Product_Pricing_Table[#Data],MATCH(DX$1,Products,0),2)="Cores",IF(HostBuild[Use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8" s="59">
        <f>IFERROR(IF(FIND(DY$1,$W138)&gt;0,IF(INDEX([1]!Product_Pricing_Table[#Data],MATCH(DY$1,Products,0),2)="Cores",IF(HostBuild[Use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8" s="59">
        <f>IFERROR(IF(FIND(DZ$1,$W138)&gt;0,IF(INDEX([1]!Product_Pricing_Table[#Data],MATCH(DZ$1,Products,0),2)="Cores",IF(HostBuild[Use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8" s="59">
        <f>IFERROR(IF(FIND(EA$1,$W138)&gt;0,IF(INDEX([1]!Product_Pricing_Table[#Data],MATCH(EA$1,Products,0),2)="Cores",IF(HostBuild[Use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8" s="59">
        <f>IFERROR(IF(FIND(EB$1,$W138)&gt;0,IF(INDEX([1]!Product_Pricing_Table[#Data],MATCH(EB$1,Products,0),2)="Cores",IF(HostBuild[Use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8" s="60">
        <f>IFERROR(IF(FIND(EC$1,$W138)&gt;0,IF(INDEX([1]!Product_Pricing_Table[#Data],MATCH(EC$1,Products,0),2)="Cores",IF(HostBuild[Use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8" s="59">
        <f>IFERROR(IF(FIND(ED$1,$W138)&gt;0,IF(INDEX([1]!Product_Pricing_Table[#Data],MATCH(ED$1,Products,0),2)="Cores",IF(HostBuild[Use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8" s="59">
        <f>IFERROR(IF(FIND(EE$1,$W138)&gt;0,IF(INDEX([1]!Product_Pricing_Table[#Data],MATCH(EE$1,Products,0),2)="Cores",IF(HostBuild[Use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8" s="59">
        <f>IFERROR(IF(FIND(EF$1,$W138)&gt;0,IF(INDEX([1]!Product_Pricing_Table[#Data],MATCH(EF$1,Products,0),2)="Cores",IF(HostBuild[Use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8" s="59">
        <f>IFERROR(IF(FIND(EG$1,$W138)&gt;0,IF(INDEX([1]!Product_Pricing_Table[#Data],MATCH(EG$1,Products,0),2)="Cores",IF(HostBuild[Use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8" s="59">
        <f>IFERROR(IF(FIND(EH$1,$W138)&gt;0,IF(INDEX([1]!Product_Pricing_Table[#Data],MATCH(EH$1,Products,0),2)="Cores",IF(HostBuild[Use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8" s="59">
        <f>IFERROR(IF(FIND(EI$1,$W138)&gt;0,IF(INDEX([1]!Product_Pricing_Table[#Data],MATCH(EI$1,Products,0),2)="Cores",IF(HostBuild[Use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8" s="59">
        <f>IFERROR(IF(FIND(EJ$1,$W138)&gt;0,IF(INDEX([1]!Product_Pricing_Table[#Data],MATCH(EJ$1,Products,0),2)="Cores",IF(HostBuild[Use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8" s="60">
        <f>IFERROR(IF(FIND(EK$1,$W138)&gt;0,IF(INDEX([1]!Product_Pricing_Table[#Data],MATCH(EK$1,Products,0),2)="Cores",IF(HostBuild[Use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8" s="61"/>
      <c r="EM138" s="62">
        <v>718.61</v>
      </c>
      <c r="EN138" s="63">
        <v>125.82666666666667</v>
      </c>
      <c r="EO138"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2350.5750000000003</v>
      </c>
      <c r="EQ138" s="132">
        <f>(HostBuild[Archive
Full (GB)]+HostBuild[Archive
Incr (GB)])*Storage_DC_Dist_Tape_2014</f>
        <v>337.44593750000001</v>
      </c>
      <c r="ER138" s="132">
        <f>IF(ISNUMBER(HostBuild[Server HW Costs
(Monthly)]),SUM(HostBuild[[#This Row],[Server HW Costs
(Monthly)]:[Tape Costs
(Monthly)]]),0)</f>
        <v>3576.7209375000007</v>
      </c>
      <c r="ES138" s="65">
        <f>HostBuild[Software Costs
'[Year 1']
(Monthly)]+HostBuild[Total Hardware Costs
(Monthly)]</f>
        <v>4295.3309375000008</v>
      </c>
      <c r="ET138" s="65">
        <f>IFERROR(IF(FIND("Safenet",HostBuild[Server Model]),Safenet_PSE_PL600_Maint,0),0)+IFERROR(IF(FIND("XI52",HostBuild[Server Model]),IBM_DIA_XI52_Maint,0),0)+HostBuild[Software Costs
'[After Year 1']
(Monthly)]+HostBuild[Total Hardware Costs
(Monthly)]</f>
        <v>3702.5476041666675</v>
      </c>
      <c r="EU138" s="66">
        <f>SUM(HostBuild[[#This Row],[Server Cost Breakdown]:[Network Cost]])</f>
        <v>888.7</v>
      </c>
      <c r="EV138" s="67">
        <f>IF(HostBuild[Existing Server?]="Yes - Inside this BoM",0,SUMIF(HostBuild[Alias],HostBuild[Alias],HostBuild[CPU])+SUMIF(HostBuild[Alias],HostBuild[Alias],HostBuild[Existing CPUs]))</f>
        <v>2</v>
      </c>
      <c r="EW138" s="67">
        <f>IF(HostBuild[Existing Server?]="Yes - Inside this BoM",0,SUMIF(HostBuild[Alias],HostBuild[Alias],HostBuild[Cores 
(Licensed Units)])+SUMIF(HostBuild[Alias],HostBuild[Alias],HostBuild[Existing Cores]))</f>
        <v>16</v>
      </c>
      <c r="EX138" s="67">
        <f>IF(HostBuild[Existing Server?]="Yes - Inside this BoM",0,SUMIF(HostBuild[Alias],HostBuild[Alias],HostBuild[RAM 
(GB)])+SUMIF(HostBuild[Alias],HostBuild[Alias],HostBuild[Existing RAM (GB)]))</f>
        <v>128</v>
      </c>
      <c r="EY13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8" s="66">
        <f>IF(ISBLANK(HostBuild[Server Model]),0,IF(HostBuild[Server Tier]="VMware",0,VLOOKUP(HostBuild[Server Tier],[1]!ServerTierRates[#Data],2,0))*HostBuild[CPU]*IF(AND(HostBuild[Server Type]="pSeries",HostBuild[Virtual Platform Storage Type]="Cloud-SAN"),0.25,1))</f>
        <v>608</v>
      </c>
      <c r="FD138" s="66">
        <f>0</f>
        <v>0</v>
      </c>
      <c r="FE138" s="66">
        <f>IF(HostBuild[Server Type]="VMware",HostBuild[RAM 
(GB)]*IF(ISERROR(FIND("DevCloud", HostBuild[Server Model])&gt;0),vRAM_per_vCPU_2014_Monthly,vRAM_per_vCPU_2014_Daily*30),0)</f>
        <v>0</v>
      </c>
      <c r="FF13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8" s="69">
        <f>IF(HostBuild[Server Tier]="VMware",0,IF(LEFT(HostBuild[Existing Server?],3)="Yes",0,IF(OR(HostBuild[Server Type]="Sun",HostBuild[Server Type]="pSeries"),Support_Direct_Server_Sun_per_OS_2014,IF(HostBuild[Server Type]="x86",Support_Direct_Server_x86_Wintel_per_OS_2014,0))))</f>
        <v>187.1</v>
      </c>
      <c r="FI13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39" spans="1:165" hidden="1">
      <c r="A139" s="122" t="s">
        <v>53</v>
      </c>
      <c r="B139" s="36"/>
      <c r="C139" s="36"/>
      <c r="D139" s="36"/>
      <c r="E139" s="37"/>
      <c r="F139" s="37"/>
      <c r="G139" s="103"/>
      <c r="H139" s="103"/>
      <c r="I139" s="38"/>
      <c r="J139" s="37"/>
      <c r="K139" s="37"/>
      <c r="L139" s="37"/>
      <c r="M139" s="103" t="e">
        <f ca="1">IF(rngIsDate(HostBuild[CTO Acceptance]),"Y","N")</f>
        <v>#NAME?</v>
      </c>
      <c r="N139" s="123" t="s">
        <v>4</v>
      </c>
      <c r="O139" s="39"/>
      <c r="P139" s="39"/>
      <c r="Q139" s="123" t="s">
        <v>192</v>
      </c>
      <c r="R139" s="126" t="str">
        <f>IF(NOT(ISBLANK(HostBuild[Env Label])),IFERROR(VLOOKUP(HostBuild[Env Label],[1]!tEnv[#Data],3,FALSE),""),"")</f>
        <v/>
      </c>
      <c r="S139" s="104"/>
      <c r="T139" s="40"/>
      <c r="U139" s="105"/>
      <c r="V139" s="123" t="s">
        <v>34</v>
      </c>
      <c r="W139" s="123" t="s">
        <v>191</v>
      </c>
      <c r="X139" s="123" t="s">
        <v>99</v>
      </c>
      <c r="Y139" s="123" t="s">
        <v>188</v>
      </c>
      <c r="Z139" s="126" t="str">
        <f>IF(NOT(ISBLANK(HostBuild[[#This Row],[Product 
(Acronym)]])),CONCATENATE(HostBuild[[#This Row],[Type]],"-",HostBuild[[#This Row],[Product 
(Acronym)]]),"")</f>
        <v>DB-CBOL</v>
      </c>
      <c r="AA139" s="106"/>
      <c r="AB139" s="106" t="s">
        <v>76</v>
      </c>
      <c r="AC139" s="41"/>
      <c r="AD139" s="42"/>
      <c r="AE139" s="42"/>
      <c r="AF139" s="43"/>
      <c r="AG139" s="124"/>
      <c r="AH139" s="107"/>
      <c r="AI139" s="124" t="s">
        <v>208</v>
      </c>
      <c r="AJ139" s="123">
        <f>IF(COUNTIF(HostBuild[Alias],HostBuild[Alias]),1/COUNTIF(HostBuild[Alias],HostBuild[Alias]),0)</f>
        <v>1</v>
      </c>
      <c r="AK139" s="124"/>
      <c r="AL139" s="124"/>
      <c r="AM139" s="44" t="s">
        <v>62</v>
      </c>
      <c r="AN139" s="45" t="str">
        <f>IF(NOT(ISBLANK(HostBuild[Server Model])),VLOOKUP(HostBuild[Server Model],[1]!ServerModelsTier[#Data],2,FALSE),"")</f>
        <v>x86 Tier 3</v>
      </c>
      <c r="AO139" s="45" t="str">
        <f>IF(NOT(ISBLANK(HostBuild[Server Model])),VLOOKUP(HostBuild[Server Model],[1]!ServerModelsTier[#Data],5,FALSE),"")</f>
        <v>x86</v>
      </c>
      <c r="AP139" s="44"/>
      <c r="AQ139" s="44" t="s">
        <v>63</v>
      </c>
      <c r="AR139" s="46">
        <v>2</v>
      </c>
      <c r="AS139" s="108"/>
      <c r="AT139" s="47">
        <v>16</v>
      </c>
      <c r="AU139" s="109"/>
      <c r="AV139" s="48">
        <v>128</v>
      </c>
      <c r="AW139" s="124"/>
      <c r="AX139" s="124"/>
      <c r="AY139" s="124"/>
      <c r="AZ139" s="49"/>
      <c r="BA139" s="124"/>
      <c r="BB139" s="124"/>
      <c r="BC139" s="42"/>
      <c r="BD139" s="124"/>
      <c r="BE139" s="124"/>
      <c r="BF139" s="124"/>
      <c r="BG139" s="124"/>
      <c r="BH139" s="124"/>
      <c r="BI139" s="124"/>
      <c r="BJ139" s="124"/>
      <c r="BK139"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39" s="127">
        <v>150</v>
      </c>
      <c r="BM139" s="129">
        <f>IF(ISNUMBER(HostBuild[Recommended SAN (GB)]),HostBuild[Recommended SAN (GB)])+IF(HostBuild[Additional SAN (GB)]&gt;0,CEILING(HostBuild[Additional SAN (GB)],LUN),-(CEILING(-HostBuild[Additional SAN (GB)],LUN)))</f>
        <v>370.70000000000005</v>
      </c>
      <c r="BN139" s="128"/>
      <c r="BO139" s="129">
        <f>HostBuild[SAN (GB)
NEEDED TODAY]+CEILING(HostBuild[SAN (GB)
RESERVED
DO NOT USE TO BUILD], LUN)</f>
        <v>370.70000000000005</v>
      </c>
      <c r="BP139" s="130"/>
      <c r="BQ139" s="131"/>
      <c r="BR139" s="125" t="s">
        <v>76</v>
      </c>
      <c r="BS139" s="110">
        <f>IF(HostBuild[Existing Server?]&lt;&gt;"Yes - Inside this BoM",IF(ISNUMBER(HostBuild[RAM 
(GB)]),IF(HostBuild[Existing RAM (GB)]+HostBuild[RAM 
(GB)]&gt;0,IF(HostBuild[Virtual Platform Storage Type]="NAS",110+HostBuild[Existing RAM (GB)]+HostBuild[RAM 
(GB)]*1.75,0),0),0),0)</f>
        <v>0</v>
      </c>
      <c r="BT139" s="111"/>
      <c r="BU139" s="112">
        <f>IF(ISNUMBER(HostBuild[Recommended NAS (GB)]),HostBuild[Recommended NAS (GB)])+HostBuild[Additional NAS (GB)]</f>
        <v>0</v>
      </c>
      <c r="BV139" s="50"/>
      <c r="BW139" s="50"/>
      <c r="BX139" s="133">
        <f>IFERROR((HostBuild[SAN (GB)
End-State
DO NOT USE TO BUILD]+HostBuild[SAN (GB) Shared])*25%,"")</f>
        <v>92.675000000000011</v>
      </c>
      <c r="BY139" s="113">
        <f>IFERROR(HostBuild[Archive
Full (GB)]*15%,"")</f>
        <v>13.901250000000001</v>
      </c>
      <c r="BZ139" s="51"/>
      <c r="CA139" s="51"/>
      <c r="CB139" s="52"/>
      <c r="CC139" s="53"/>
      <c r="CD139" s="52"/>
      <c r="CE139" s="54"/>
      <c r="CF139" s="128"/>
      <c r="CG139" s="114"/>
      <c r="CH139" s="55"/>
      <c r="CI139" s="56"/>
      <c r="CJ139" s="57"/>
      <c r="CK139" s="58"/>
      <c r="CL139" s="59">
        <f>IFERROR(IF(FIND(CL$1,$W139)&gt;0,IF(INDEX([1]!Product_Pricing_Table[#Data],MATCH(CL$1,Products,0),2)="Cores",IF(HostBuild[Use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39" s="59">
        <f>IFERROR(IF(FIND(CM$1,$W139)&gt;0,IF(INDEX([1]!Product_Pricing_Table[#Data],MATCH(CM$1,Products,0),2)="Cores",IF(HostBuild[Use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39" s="59">
        <f>IFERROR(IF(FIND(CN$1,$W139)&gt;0,IF(INDEX([1]!Product_Pricing_Table[#Data],MATCH(CN$1,Products,0),2)="Cores",IF(HostBuild[Use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39" s="59">
        <f>IFERROR(IF(FIND(CO$1,$W139)&gt;0,IF(INDEX([1]!Product_Pricing_Table[#Data],MATCH(CO$1,Products,0),2)="Cores",IF(HostBuild[Use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39" s="59">
        <f>IFERROR(IF(FIND(CP$1,$W139)&gt;0,IF(INDEX([1]!Product_Pricing_Table[#Data],MATCH(CP$1,Products,0),2)="Cores",IF(HostBuild[Use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39" s="59">
        <f>IFERROR(IF(FIND(CQ$1,$W139)&gt;0,IF(INDEX([1]!Product_Pricing_Table[#Data],MATCH(CQ$1,Products,0),2)="Cores",IF(HostBuild[Use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39" s="59">
        <f>IFERROR(IF(FIND(CR$1,$W139)&gt;0,IF(INDEX([1]!Product_Pricing_Table[#Data],MATCH(CR$1,Products,0),2)="Cores",IF(HostBuild[Use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39" s="59">
        <f>IFERROR(IF(FIND(CS$1,$W139)&gt;0,IF(INDEX([1]!Product_Pricing_Table[#Data],MATCH(CS$1,Products,0),2)="Cores",IF(HostBuild[Use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39" s="59">
        <f>IFERROR(IF(FIND(CT$1,$W139)&gt;0,IF(INDEX([1]!Product_Pricing_Table[#Data],MATCH(CT$1,Products,0),2)="Cores",IF(HostBuild[Use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39" s="59">
        <f>IFERROR(IF(FIND(CU$1,$W139)&gt;0,IF(INDEX([1]!Product_Pricing_Table[#Data],MATCH(CU$1,Products,0),2)="Cores",IF(HostBuild[Use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39" s="59">
        <f>IFERROR(IF(FIND(CV$1,$W139)&gt;0,IF(INDEX([1]!Product_Pricing_Table[#Data],MATCH(CV$1,Products,0),2)="Cores",IF(HostBuild[Use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39" s="59">
        <f>IFERROR(IF(FIND(CW$1,$W139)&gt;0,IF(INDEX([1]!Product_Pricing_Table[#Data],MATCH(CW$1,Products,0),2)="Cores",IF(HostBuild[Use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39" s="59">
        <f>IFERROR(IF(FIND(CX$1,$W139)&gt;0,IF(INDEX([1]!Product_Pricing_Table[#Data],MATCH(CX$1,Products,0),2)="Cores",IF(HostBuild[Use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39" s="59">
        <f>IFERROR(IF(FIND(CY$1,$W139)&gt;0,IF(INDEX([1]!Product_Pricing_Table[#Data],MATCH(CY$1,Products,0),2)="Cores",IF(HostBuild[Use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39" s="59">
        <f>IFERROR(IF(FIND(CZ$1,$W139)&gt;0,IF(INDEX([1]!Product_Pricing_Table[#Data],MATCH(CZ$1,Products,0),2)="Cores",IF(HostBuild[Use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39" s="59">
        <f>IFERROR(IF(FIND(DA$1,$W139)&gt;0,IF(INDEX([1]!Product_Pricing_Table[#Data],MATCH(DA$1,Products,0),2)="Cores",IF(HostBuild[Use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39" s="59">
        <f>IFERROR(IF(FIND(DB$1,$W139)&gt;0,IF(INDEX([1]!Product_Pricing_Table[#Data],MATCH(DB$1,Products,0),2)="Cores",IF(HostBuild[Use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39" s="59">
        <f>IFERROR(IF(FIND(DC$1,$W139)&gt;0,IF(INDEX([1]!Product_Pricing_Table[#Data],MATCH(DC$1,Products,0),2)="Cores",IF(HostBuild[Use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39" s="59">
        <f>IFERROR(IF(FIND(DD$1,$W139)&gt;0,IF(INDEX([1]!Product_Pricing_Table[#Data],MATCH(DD$1,Products,0),2)="Cores",IF(HostBuild[Use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39" s="59">
        <f>IFERROR(IF(FIND(DE$1,$W139)&gt;0,IF(INDEX([1]!Product_Pricing_Table[#Data],MATCH(DE$1,Products,0),2)="Cores",IF(HostBuild[Use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39" s="60">
        <f>IFERROR(IF(FIND(DF$1,$W139)&gt;0,IF(INDEX([1]!Product_Pricing_Table[#Data],MATCH(DF$1,Products,0),2)="Cores",IF(HostBuild[Use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39" s="60">
        <f>IFERROR(IF(FIND(DG$1,$W139)&gt;0,IF(INDEX([1]!Product_Pricing_Table[#Data],MATCH(DG$1,Products,0),2)="Cores",IF(HostBuild[Use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39" s="59">
        <f>IFERROR(IF(FIND(DH$1,$W139)&gt;0,IF(INDEX([1]!Product_Pricing_Table[#Data],MATCH(DH$1,Products,0),2)="Cores",IF(HostBuild[Use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39" s="60">
        <f>IFERROR(IF(FIND(DI$1,$W139)&gt;0,IF(INDEX([1]!Product_Pricing_Table[#Data],MATCH(DI$1,Products,0),2)="Cores",IF(HostBuild[Use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39" s="59">
        <f>IFERROR(IF(FIND(DJ$1,$W139)&gt;0,IF(INDEX([1]!Product_Pricing_Table[#Data],MATCH(DJ$1,Products,0),2)="Cores",IF(HostBuild[Use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39" s="59">
        <f>IFERROR(IF(FIND(DK$1,$W139)&gt;0,IF(INDEX([1]!Product_Pricing_Table[#Data],MATCH(DK$1,Products,0),2)="Cores",IF(HostBuild[Use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39" s="59">
        <f>IFERROR(IF(FIND(DL$1,$W139)&gt;0,IF(INDEX([1]!Product_Pricing_Table[#Data],MATCH(DL$1,Products,0),2)="Cores",IF(HostBuild[Use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39" s="59">
        <f>IFERROR(IF(FIND(DM$1,$W139)&gt;0,IF(INDEX([1]!Product_Pricing_Table[#Data],MATCH(DM$1,Products,0),2)="Cores",IF(HostBuild[Use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39" s="59">
        <f>IFERROR(IF(FIND(DN$1,$W139)&gt;0,IF(INDEX([1]!Product_Pricing_Table[#Data],MATCH(DN$1,Products,0),2)="Cores",IF(HostBuild[Use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39" s="59">
        <f>IFERROR(IF(FIND(DO$1,$W139)&gt;0,IF(INDEX([1]!Product_Pricing_Table[#Data],MATCH(DO$1,Products,0),2)="Cores",IF(HostBuild[Use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39" s="59">
        <f>IFERROR(IF(FIND(DP$1,$W139)&gt;0,IF(INDEX([1]!Product_Pricing_Table[#Data],MATCH(DP$1,Products,0),2)="Cores",IF(HostBuild[Use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39" s="59">
        <f>IFERROR(IF(FIND(DQ$1,$W139)&gt;0,IF(INDEX([1]!Product_Pricing_Table[#Data],MATCH(DQ$1,Products,0),2)="Cores",IF(HostBuild[Use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39" s="59">
        <f>IFERROR(IF(FIND(DR$1,$W139)&gt;0,IF(INDEX([1]!Product_Pricing_Table[#Data],MATCH(DR$1,Products,0),2)="Cores",IF(HostBuild[Use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39" s="59">
        <f>IFERROR(IF(FIND(DS$1,$W139)&gt;0,IF(INDEX([1]!Product_Pricing_Table[#Data],MATCH(DS$1,Products,0),2)="Cores",IF(HostBuild[Use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39" s="59">
        <f>IFERROR(IF(FIND(DT$1,$W139)&gt;0,IF(INDEX([1]!Product_Pricing_Table[#Data],MATCH(DT$1,Products,0),2)="Cores",IF(HostBuild[Use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39" s="59">
        <f>IFERROR(IF(FIND(DU$1,$W139)&gt;0,IF(INDEX([1]!Product_Pricing_Table[#Data],MATCH(DU$1,Products,0),2)="Cores",IF(HostBuild[Use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39" s="59">
        <f>IFERROR(IF(FIND(DV$1,$W139)&gt;0,IF(INDEX([1]!Product_Pricing_Table[#Data],MATCH(DV$1,Products,0),2)="Cores",IF(HostBuild[Use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39" s="59">
        <f>IFERROR(IF(FIND(DW$1,$W139)&gt;0,IF(INDEX([1]!Product_Pricing_Table[#Data],MATCH(DW$1,Products,0),2)="Cores",IF(HostBuild[Use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39" s="59">
        <f>IFERROR(IF(FIND(DX$1,$W139)&gt;0,IF(INDEX([1]!Product_Pricing_Table[#Data],MATCH(DX$1,Products,0),2)="Cores",IF(HostBuild[Use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39" s="59">
        <f>IFERROR(IF(FIND(DY$1,$W139)&gt;0,IF(INDEX([1]!Product_Pricing_Table[#Data],MATCH(DY$1,Products,0),2)="Cores",IF(HostBuild[Use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39" s="59">
        <f>IFERROR(IF(FIND(DZ$1,$W139)&gt;0,IF(INDEX([1]!Product_Pricing_Table[#Data],MATCH(DZ$1,Products,0),2)="Cores",IF(HostBuild[Use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39" s="59">
        <f>IFERROR(IF(FIND(EA$1,$W139)&gt;0,IF(INDEX([1]!Product_Pricing_Table[#Data],MATCH(EA$1,Products,0),2)="Cores",IF(HostBuild[Use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39" s="59">
        <f>IFERROR(IF(FIND(EB$1,$W139)&gt;0,IF(INDEX([1]!Product_Pricing_Table[#Data],MATCH(EB$1,Products,0),2)="Cores",IF(HostBuild[Use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39" s="60">
        <f>IFERROR(IF(FIND(EC$1,$W139)&gt;0,IF(INDEX([1]!Product_Pricing_Table[#Data],MATCH(EC$1,Products,0),2)="Cores",IF(HostBuild[Use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39" s="59">
        <f>IFERROR(IF(FIND(ED$1,$W139)&gt;0,IF(INDEX([1]!Product_Pricing_Table[#Data],MATCH(ED$1,Products,0),2)="Cores",IF(HostBuild[Use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39" s="59">
        <f>IFERROR(IF(FIND(EE$1,$W139)&gt;0,IF(INDEX([1]!Product_Pricing_Table[#Data],MATCH(EE$1,Products,0),2)="Cores",IF(HostBuild[Use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39" s="59">
        <f>IFERROR(IF(FIND(EF$1,$W139)&gt;0,IF(INDEX([1]!Product_Pricing_Table[#Data],MATCH(EF$1,Products,0),2)="Cores",IF(HostBuild[Use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39" s="59">
        <f>IFERROR(IF(FIND(EG$1,$W139)&gt;0,IF(INDEX([1]!Product_Pricing_Table[#Data],MATCH(EG$1,Products,0),2)="Cores",IF(HostBuild[Use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39" s="59">
        <f>IFERROR(IF(FIND(EH$1,$W139)&gt;0,IF(INDEX([1]!Product_Pricing_Table[#Data],MATCH(EH$1,Products,0),2)="Cores",IF(HostBuild[Use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39" s="59">
        <f>IFERROR(IF(FIND(EI$1,$W139)&gt;0,IF(INDEX([1]!Product_Pricing_Table[#Data],MATCH(EI$1,Products,0),2)="Cores",IF(HostBuild[Use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39" s="59">
        <f>IFERROR(IF(FIND(EJ$1,$W139)&gt;0,IF(INDEX([1]!Product_Pricing_Table[#Data],MATCH(EJ$1,Products,0),2)="Cores",IF(HostBuild[Use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39" s="60">
        <f>IFERROR(IF(FIND(EK$1,$W139)&gt;0,IF(INDEX([1]!Product_Pricing_Table[#Data],MATCH(EK$1,Products,0),2)="Cores",IF(HostBuild[Use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39" s="61"/>
      <c r="EM139" s="62">
        <v>718.61</v>
      </c>
      <c r="EN139" s="63">
        <v>125.82666666666667</v>
      </c>
      <c r="EO139"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3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166.81500000000003</v>
      </c>
      <c r="EQ139" s="132">
        <f>(HostBuild[Archive
Full (GB)]+HostBuild[Archive
Incr (GB)])*Storage_DC_Dist_Tape_2014</f>
        <v>37.3016875</v>
      </c>
      <c r="ER139" s="132">
        <f>IF(ISNUMBER(HostBuild[Server HW Costs
(Monthly)]),SUM(HostBuild[[#This Row],[Server HW Costs
(Monthly)]:[Tape Costs
(Monthly)]]),0)</f>
        <v>1092.8166875000002</v>
      </c>
      <c r="ES139" s="65">
        <f>HostBuild[Software Costs
'[Year 1']
(Monthly)]+HostBuild[Total Hardware Costs
(Monthly)]</f>
        <v>1811.4266875000003</v>
      </c>
      <c r="ET139" s="65">
        <f>IFERROR(IF(FIND("Safenet",HostBuild[Server Model]),Safenet_PSE_PL600_Maint,0),0)+IFERROR(IF(FIND("XI52",HostBuild[Server Model]),IBM_DIA_XI52_Maint,0),0)+HostBuild[Software Costs
'[After Year 1']
(Monthly)]+HostBuild[Total Hardware Costs
(Monthly)]</f>
        <v>1218.6433541666668</v>
      </c>
      <c r="EU139" s="66">
        <f>SUM(HostBuild[[#This Row],[Server Cost Breakdown]:[Network Cost]])</f>
        <v>888.7</v>
      </c>
      <c r="EV139" s="67">
        <f>IF(HostBuild[Existing Server?]="Yes - Inside this BoM",0,SUMIF(HostBuild[Alias],HostBuild[Alias],HostBuild[CPU])+SUMIF(HostBuild[Alias],HostBuild[Alias],HostBuild[Existing CPUs]))</f>
        <v>2</v>
      </c>
      <c r="EW139" s="67">
        <f>IF(HostBuild[Existing Server?]="Yes - Inside this BoM",0,SUMIF(HostBuild[Alias],HostBuild[Alias],HostBuild[Cores 
(Licensed Units)])+SUMIF(HostBuild[Alias],HostBuild[Alias],HostBuild[Existing Cores]))</f>
        <v>16</v>
      </c>
      <c r="EX139" s="67">
        <f>IF(HostBuild[Existing Server?]="Yes - Inside this BoM",0,SUMIF(HostBuild[Alias],HostBuild[Alias],HostBuild[RAM 
(GB)])+SUMIF(HostBuild[Alias],HostBuild[Alias],HostBuild[Existing RAM (GB)]))</f>
        <v>128</v>
      </c>
      <c r="EY13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3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3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3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39" s="66">
        <f>IF(ISBLANK(HostBuild[Server Model]),0,IF(HostBuild[Server Tier]="VMware",0,VLOOKUP(HostBuild[Server Tier],[1]!ServerTierRates[#Data],2,0))*HostBuild[CPU]*IF(AND(HostBuild[Server Type]="pSeries",HostBuild[Virtual Platform Storage Type]="Cloud-SAN"),0.25,1))</f>
        <v>608</v>
      </c>
      <c r="FD139" s="66">
        <f>0</f>
        <v>0</v>
      </c>
      <c r="FE139" s="66">
        <f>IF(HostBuild[Server Type]="VMware",HostBuild[RAM 
(GB)]*IF(ISERROR(FIND("DevCloud", HostBuild[Server Model])&gt;0),vRAM_per_vCPU_2014_Monthly,vRAM_per_vCPU_2014_Daily*30),0)</f>
        <v>0</v>
      </c>
      <c r="FF13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3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39" s="69">
        <f>IF(HostBuild[Server Tier]="VMware",0,IF(LEFT(HostBuild[Existing Server?],3)="Yes",0,IF(OR(HostBuild[Server Type]="Sun",HostBuild[Server Type]="pSeries"),Support_Direct_Server_Sun_per_OS_2014,IF(HostBuild[Server Type]="x86",Support_Direct_Server_x86_Wintel_per_OS_2014,0))))</f>
        <v>187.1</v>
      </c>
      <c r="FI13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0" spans="1:165" hidden="1">
      <c r="A140" s="122" t="s">
        <v>53</v>
      </c>
      <c r="B140" s="36"/>
      <c r="C140" s="36"/>
      <c r="D140" s="36"/>
      <c r="E140" s="37"/>
      <c r="F140" s="37"/>
      <c r="G140" s="103"/>
      <c r="H140" s="103"/>
      <c r="I140" s="38"/>
      <c r="J140" s="37"/>
      <c r="K140" s="37"/>
      <c r="L140" s="37"/>
      <c r="M140" s="103" t="e">
        <f ca="1">IF(rngIsDate(HostBuild[CTO Acceptance]),"Y","N")</f>
        <v>#NAME?</v>
      </c>
      <c r="N140" s="123" t="s">
        <v>3</v>
      </c>
      <c r="O140" s="39"/>
      <c r="P140" s="39"/>
      <c r="Q140" s="123" t="s">
        <v>192</v>
      </c>
      <c r="R140" s="126" t="str">
        <f>IF(NOT(ISBLANK(HostBuild[Env Label])),IFERROR(VLOOKUP(HostBuild[Env Label],[1]!tEnv[#Data],3,FALSE),""),"")</f>
        <v/>
      </c>
      <c r="S140" s="104"/>
      <c r="T140" s="40"/>
      <c r="U140" s="105"/>
      <c r="V140" s="123" t="s">
        <v>37</v>
      </c>
      <c r="W140" s="123" t="s">
        <v>39</v>
      </c>
      <c r="X140" s="123" t="s">
        <v>57</v>
      </c>
      <c r="Y140" s="123" t="s">
        <v>188</v>
      </c>
      <c r="Z140" s="126" t="str">
        <f>IF(NOT(ISBLANK(HostBuild[[#This Row],[Product 
(Acronym)]])),CONCATENATE(HostBuild[[#This Row],[Type]],"-",HostBuild[[#This Row],[Product 
(Acronym)]]),"")</f>
        <v>AP-CBOL</v>
      </c>
      <c r="AA140" s="106"/>
      <c r="AB140" s="106" t="s">
        <v>76</v>
      </c>
      <c r="AC140" s="41"/>
      <c r="AD140" s="42"/>
      <c r="AE140" s="42"/>
      <c r="AF140" s="43"/>
      <c r="AG140" s="124"/>
      <c r="AH140" s="107"/>
      <c r="AI140" s="124" t="s">
        <v>209</v>
      </c>
      <c r="AJ140" s="123">
        <f>IF(COUNTIF(HostBuild[Alias],HostBuild[Alias]),1/COUNTIF(HostBuild[Alias],HostBuild[Alias]),0)</f>
        <v>1</v>
      </c>
      <c r="AK140" s="124"/>
      <c r="AL140" s="124"/>
      <c r="AM140" s="44" t="s">
        <v>101</v>
      </c>
      <c r="AN140" s="45" t="str">
        <f>IF(NOT(ISBLANK(HostBuild[Server Model])),VLOOKUP(HostBuild[Server Model],[1]!ServerModelsTier[#Data],2,FALSE),"")</f>
        <v>IBM P-Series Tier 2</v>
      </c>
      <c r="AO140" s="45" t="str">
        <f>IF(NOT(ISBLANK(HostBuild[Server Model])),VLOOKUP(HostBuild[Server Model],[1]!ServerModelsTier[#Data],5,FALSE),"")</f>
        <v>pSeries</v>
      </c>
      <c r="AP140" s="44"/>
      <c r="AQ140" s="44" t="s">
        <v>102</v>
      </c>
      <c r="AR140" s="46"/>
      <c r="AS140" s="108"/>
      <c r="AT140" s="47">
        <v>1</v>
      </c>
      <c r="AU140" s="109"/>
      <c r="AV140" s="48">
        <v>32</v>
      </c>
      <c r="AW140" s="124"/>
      <c r="AX140" s="124"/>
      <c r="AY140" s="124"/>
      <c r="AZ140" s="49"/>
      <c r="BA140" s="124"/>
      <c r="BB140" s="124"/>
      <c r="BC140" s="42"/>
      <c r="BD140" s="124"/>
      <c r="BE140" s="124"/>
      <c r="BF140" s="124"/>
      <c r="BG140" s="124"/>
      <c r="BH140" s="124"/>
      <c r="BI140" s="124"/>
      <c r="BJ140" s="124"/>
      <c r="BK140"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40" s="127">
        <v>600</v>
      </c>
      <c r="BM140" s="129">
        <f>IF(ISNUMBER(HostBuild[Recommended SAN (GB)]),HostBuild[Recommended SAN (GB)])+IF(HostBuild[Additional SAN (GB)]&gt;0,CEILING(HostBuild[Additional SAN (GB)],LUN),-(CEILING(-HostBuild[Additional SAN (GB)],LUN)))</f>
        <v>606.6</v>
      </c>
      <c r="BN140" s="128"/>
      <c r="BO140" s="129">
        <f>HostBuild[SAN (GB)
NEEDED TODAY]+CEILING(HostBuild[SAN (GB)
RESERVED
DO NOT USE TO BUILD], LUN)</f>
        <v>606.6</v>
      </c>
      <c r="BP140" s="130">
        <v>500</v>
      </c>
      <c r="BQ140" s="131"/>
      <c r="BR140" s="125" t="s">
        <v>76</v>
      </c>
      <c r="BS140" s="110">
        <f>IF(HostBuild[Existing Server?]&lt;&gt;"Yes - Inside this BoM",IF(ISNUMBER(HostBuild[RAM 
(GB)]),IF(HostBuild[Existing RAM (GB)]+HostBuild[RAM 
(GB)]&gt;0,IF(HostBuild[Virtual Platform Storage Type]="NAS",110+HostBuild[Existing RAM (GB)]+HostBuild[RAM 
(GB)]*1.75,0),0),0),0)</f>
        <v>0</v>
      </c>
      <c r="BT140" s="111"/>
      <c r="BU140" s="112">
        <f>IF(ISNUMBER(HostBuild[Recommended NAS (GB)]),HostBuild[Recommended NAS (GB)])+HostBuild[Additional NAS (GB)]</f>
        <v>0</v>
      </c>
      <c r="BV140" s="50"/>
      <c r="BW140" s="50"/>
      <c r="BX140" s="133">
        <f>IFERROR((HostBuild[SAN (GB)
End-State
DO NOT USE TO BUILD]+HostBuild[SAN (GB) Shared])*25%,"")</f>
        <v>276.64999999999998</v>
      </c>
      <c r="BY140" s="113">
        <f>IFERROR(HostBuild[Archive
Full (GB)]*15%,"")</f>
        <v>41.497499999999995</v>
      </c>
      <c r="BZ140" s="51"/>
      <c r="CA140" s="51"/>
      <c r="CB140" s="52"/>
      <c r="CC140" s="53"/>
      <c r="CD140" s="52"/>
      <c r="CE140" s="54"/>
      <c r="CF140" s="128"/>
      <c r="CG140" s="114"/>
      <c r="CH140" s="55"/>
      <c r="CI140" s="56"/>
      <c r="CJ140" s="57" t="s">
        <v>384</v>
      </c>
      <c r="CK140" s="58"/>
      <c r="CL140" s="59">
        <f>IFERROR(IF(FIND(CL$1,$W140)&gt;0,IF(INDEX([1]!Product_Pricing_Table[#Data],MATCH(CL$1,Products,0),2)="Cores",IF(HostBuild[Use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0" s="59">
        <f>IFERROR(IF(FIND(CM$1,$W140)&gt;0,IF(INDEX([1]!Product_Pricing_Table[#Data],MATCH(CM$1,Products,0),2)="Cores",IF(HostBuild[Use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0" s="59">
        <f>IFERROR(IF(FIND(CN$1,$W140)&gt;0,IF(INDEX([1]!Product_Pricing_Table[#Data],MATCH(CN$1,Products,0),2)="Cores",IF(HostBuild[Use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0" s="59">
        <f>IFERROR(IF(FIND(CO$1,$W140)&gt;0,IF(INDEX([1]!Product_Pricing_Table[#Data],MATCH(CO$1,Products,0),2)="Cores",IF(HostBuild[Use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0" s="59">
        <f>IFERROR(IF(FIND(CP$1,$W140)&gt;0,IF(INDEX([1]!Product_Pricing_Table[#Data],MATCH(CP$1,Products,0),2)="Cores",IF(HostBuild[Use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0" s="59">
        <f>IFERROR(IF(FIND(CQ$1,$W140)&gt;0,IF(INDEX([1]!Product_Pricing_Table[#Data],MATCH(CQ$1,Products,0),2)="Cores",IF(HostBuild[Use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0" s="59">
        <f>IFERROR(IF(FIND(CR$1,$W140)&gt;0,IF(INDEX([1]!Product_Pricing_Table[#Data],MATCH(CR$1,Products,0),2)="Cores",IF(HostBuild[Use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0" s="59">
        <f>IFERROR(IF(FIND(CS$1,$W140)&gt;0,IF(INDEX([1]!Product_Pricing_Table[#Data],MATCH(CS$1,Products,0),2)="Cores",IF(HostBuild[Use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0" s="59">
        <f>IFERROR(IF(FIND(CT$1,$W140)&gt;0,IF(INDEX([1]!Product_Pricing_Table[#Data],MATCH(CT$1,Products,0),2)="Cores",IF(HostBuild[Use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0" s="59">
        <f>IFERROR(IF(FIND(CU$1,$W140)&gt;0,IF(INDEX([1]!Product_Pricing_Table[#Data],MATCH(CU$1,Products,0),2)="Cores",IF(HostBuild[Use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0" s="59">
        <f>IFERROR(IF(FIND(CV$1,$W140)&gt;0,IF(INDEX([1]!Product_Pricing_Table[#Data],MATCH(CV$1,Products,0),2)="Cores",IF(HostBuild[Use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0" s="59">
        <f>IFERROR(IF(FIND(CW$1,$W140)&gt;0,IF(INDEX([1]!Product_Pricing_Table[#Data],MATCH(CW$1,Products,0),2)="Cores",IF(HostBuild[Use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0" s="59">
        <f>IFERROR(IF(FIND(CX$1,$W140)&gt;0,IF(INDEX([1]!Product_Pricing_Table[#Data],MATCH(CX$1,Products,0),2)="Cores",IF(HostBuild[Use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0" s="59">
        <f>IFERROR(IF(FIND(CY$1,$W140)&gt;0,IF(INDEX([1]!Product_Pricing_Table[#Data],MATCH(CY$1,Products,0),2)="Cores",IF(HostBuild[Use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0" s="59">
        <f>IFERROR(IF(FIND(CZ$1,$W140)&gt;0,IF(INDEX([1]!Product_Pricing_Table[#Data],MATCH(CZ$1,Products,0),2)="Cores",IF(HostBuild[Use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0" s="59">
        <f>IFERROR(IF(FIND(DA$1,$W140)&gt;0,IF(INDEX([1]!Product_Pricing_Table[#Data],MATCH(DA$1,Products,0),2)="Cores",IF(HostBuild[Use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0" s="59">
        <f>IFERROR(IF(FIND(DB$1,$W140)&gt;0,IF(INDEX([1]!Product_Pricing_Table[#Data],MATCH(DB$1,Products,0),2)="Cores",IF(HostBuild[Use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0" s="59">
        <f>IFERROR(IF(FIND(DC$1,$W140)&gt;0,IF(INDEX([1]!Product_Pricing_Table[#Data],MATCH(DC$1,Products,0),2)="Cores",IF(HostBuild[Use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0" s="59">
        <f>IFERROR(IF(FIND(DD$1,$W140)&gt;0,IF(INDEX([1]!Product_Pricing_Table[#Data],MATCH(DD$1,Products,0),2)="Cores",IF(HostBuild[Use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0" s="59">
        <f>IFERROR(IF(FIND(DE$1,$W140)&gt;0,IF(INDEX([1]!Product_Pricing_Table[#Data],MATCH(DE$1,Products,0),2)="Cores",IF(HostBuild[Use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0" s="60">
        <f>IFERROR(IF(FIND(DF$1,$W140)&gt;0,IF(INDEX([1]!Product_Pricing_Table[#Data],MATCH(DF$1,Products,0),2)="Cores",IF(HostBuild[Use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0" s="60">
        <f>IFERROR(IF(FIND(DG$1,$W140)&gt;0,IF(INDEX([1]!Product_Pricing_Table[#Data],MATCH(DG$1,Products,0),2)="Cores",IF(HostBuild[Use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0" s="59">
        <f>IFERROR(IF(FIND(DH$1,$W140)&gt;0,IF(INDEX([1]!Product_Pricing_Table[#Data],MATCH(DH$1,Products,0),2)="Cores",IF(HostBuild[Use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0" s="60">
        <f>IFERROR(IF(FIND(DI$1,$W140)&gt;0,IF(INDEX([1]!Product_Pricing_Table[#Data],MATCH(DI$1,Products,0),2)="Cores",IF(HostBuild[Use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0" s="59">
        <f>IFERROR(IF(FIND(DJ$1,$W140)&gt;0,IF(INDEX([1]!Product_Pricing_Table[#Data],MATCH(DJ$1,Products,0),2)="Cores",IF(HostBuild[Use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0" s="59">
        <f>IFERROR(IF(FIND(DK$1,$W140)&gt;0,IF(INDEX([1]!Product_Pricing_Table[#Data],MATCH(DK$1,Products,0),2)="Cores",IF(HostBuild[Use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0" s="59">
        <f>IFERROR(IF(FIND(DL$1,$W140)&gt;0,IF(INDEX([1]!Product_Pricing_Table[#Data],MATCH(DL$1,Products,0),2)="Cores",IF(HostBuild[Use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0" s="59">
        <f>IFERROR(IF(FIND(DM$1,$W140)&gt;0,IF(INDEX([1]!Product_Pricing_Table[#Data],MATCH(DM$1,Products,0),2)="Cores",IF(HostBuild[Use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0" s="59">
        <f>IFERROR(IF(FIND(DN$1,$W140)&gt;0,IF(INDEX([1]!Product_Pricing_Table[#Data],MATCH(DN$1,Products,0),2)="Cores",IF(HostBuild[Use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0" s="59">
        <f>IFERROR(IF(FIND(DO$1,$W140)&gt;0,IF(INDEX([1]!Product_Pricing_Table[#Data],MATCH(DO$1,Products,0),2)="Cores",IF(HostBuild[Use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0" s="59">
        <f>IFERROR(IF(FIND(DP$1,$W140)&gt;0,IF(INDEX([1]!Product_Pricing_Table[#Data],MATCH(DP$1,Products,0),2)="Cores",IF(HostBuild[Use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0" s="59">
        <f>IFERROR(IF(FIND(DQ$1,$W140)&gt;0,IF(INDEX([1]!Product_Pricing_Table[#Data],MATCH(DQ$1,Products,0),2)="Cores",IF(HostBuild[Use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0" s="59">
        <f>IFERROR(IF(FIND(DR$1,$W140)&gt;0,IF(INDEX([1]!Product_Pricing_Table[#Data],MATCH(DR$1,Products,0),2)="Cores",IF(HostBuild[Use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0" s="59">
        <f>IFERROR(IF(FIND(DS$1,$W140)&gt;0,IF(INDEX([1]!Product_Pricing_Table[#Data],MATCH(DS$1,Products,0),2)="Cores",IF(HostBuild[Use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0" s="59">
        <f>IFERROR(IF(FIND(DT$1,$W140)&gt;0,IF(INDEX([1]!Product_Pricing_Table[#Data],MATCH(DT$1,Products,0),2)="Cores",IF(HostBuild[Use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0" s="59">
        <f>IFERROR(IF(FIND(DU$1,$W140)&gt;0,IF(INDEX([1]!Product_Pricing_Table[#Data],MATCH(DU$1,Products,0),2)="Cores",IF(HostBuild[Use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0" s="59">
        <f>IFERROR(IF(FIND(DV$1,$W140)&gt;0,IF(INDEX([1]!Product_Pricing_Table[#Data],MATCH(DV$1,Products,0),2)="Cores",IF(HostBuild[Use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0" s="59">
        <f>IFERROR(IF(FIND(DW$1,$W140)&gt;0,IF(INDEX([1]!Product_Pricing_Table[#Data],MATCH(DW$1,Products,0),2)="Cores",IF(HostBuild[Use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0" s="59">
        <f>IFERROR(IF(FIND(DX$1,$W140)&gt;0,IF(INDEX([1]!Product_Pricing_Table[#Data],MATCH(DX$1,Products,0),2)="Cores",IF(HostBuild[Use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0" s="59">
        <f>IFERROR(IF(FIND(DY$1,$W140)&gt;0,IF(INDEX([1]!Product_Pricing_Table[#Data],MATCH(DY$1,Products,0),2)="Cores",IF(HostBuild[Use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0" s="59">
        <f>IFERROR(IF(FIND(DZ$1,$W140)&gt;0,IF(INDEX([1]!Product_Pricing_Table[#Data],MATCH(DZ$1,Products,0),2)="Cores",IF(HostBuild[Use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0" s="59">
        <f>IFERROR(IF(FIND(EA$1,$W140)&gt;0,IF(INDEX([1]!Product_Pricing_Table[#Data],MATCH(EA$1,Products,0),2)="Cores",IF(HostBuild[Use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0" s="59">
        <f>IFERROR(IF(FIND(EB$1,$W140)&gt;0,IF(INDEX([1]!Product_Pricing_Table[#Data],MATCH(EB$1,Products,0),2)="Cores",IF(HostBuild[Use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0" s="60">
        <f>IFERROR(IF(FIND(EC$1,$W140)&gt;0,IF(INDEX([1]!Product_Pricing_Table[#Data],MATCH(EC$1,Products,0),2)="Cores",IF(HostBuild[Use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0" s="59">
        <f>IFERROR(IF(FIND(ED$1,$W140)&gt;0,IF(INDEX([1]!Product_Pricing_Table[#Data],MATCH(ED$1,Products,0),2)="Cores",IF(HostBuild[Use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0" s="59">
        <f>IFERROR(IF(FIND(EE$1,$W140)&gt;0,IF(INDEX([1]!Product_Pricing_Table[#Data],MATCH(EE$1,Products,0),2)="Cores",IF(HostBuild[Use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0" s="59">
        <f>IFERROR(IF(FIND(EF$1,$W140)&gt;0,IF(INDEX([1]!Product_Pricing_Table[#Data],MATCH(EF$1,Products,0),2)="Cores",IF(HostBuild[Use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0" s="59">
        <f>IFERROR(IF(FIND(EG$1,$W140)&gt;0,IF(INDEX([1]!Product_Pricing_Table[#Data],MATCH(EG$1,Products,0),2)="Cores",IF(HostBuild[Use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0" s="59">
        <f>IFERROR(IF(FIND(EH$1,$W140)&gt;0,IF(INDEX([1]!Product_Pricing_Table[#Data],MATCH(EH$1,Products,0),2)="Cores",IF(HostBuild[Use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0" s="59">
        <f>IFERROR(IF(FIND(EI$1,$W140)&gt;0,IF(INDEX([1]!Product_Pricing_Table[#Data],MATCH(EI$1,Products,0),2)="Cores",IF(HostBuild[Use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0" s="59">
        <f>IFERROR(IF(FIND(EJ$1,$W140)&gt;0,IF(INDEX([1]!Product_Pricing_Table[#Data],MATCH(EJ$1,Products,0),2)="Cores",IF(HostBuild[Use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0" s="60">
        <f>IFERROR(IF(FIND(EK$1,$W140)&gt;0,IF(INDEX([1]!Product_Pricing_Table[#Data],MATCH(EK$1,Products,0),2)="Cores",IF(HostBuild[Use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0" s="61"/>
      <c r="EM140" s="62">
        <v>0</v>
      </c>
      <c r="EN140" s="63">
        <v>0</v>
      </c>
      <c r="EO140" s="64">
        <f>IF(OR(ISBLANK(HostBuild[Alias]),HostBuild[Server Tier]="",),0,IF(HostBuild[Server Tier]="SafeNet",Safenet_PSE_PL600+HostBuild[Network Cost],IF(HostBuild[Server Tier]="VMware",HostBuild[New VMware (Adjusted)]+HostBuild[Initial Server Cost],IF(HostBuild[Server Tier]="XI52",IBM_DIA_XI52,HostBuild[Initial Server Cost]))))</f>
        <v>187.1</v>
      </c>
      <c r="EP14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778.47</v>
      </c>
      <c r="EQ140" s="132">
        <f>(HostBuild[Archive
Full (GB)]+HostBuild[Archive
Incr (GB)])*Storage_DC_Dist_Tape_2014</f>
        <v>111.35162499999998</v>
      </c>
      <c r="ER140" s="132">
        <f>IF(ISNUMBER(HostBuild[Server HW Costs
(Monthly)]),SUM(HostBuild[[#This Row],[Server HW Costs
(Monthly)]:[Tape Costs
(Monthly)]]),0)</f>
        <v>1076.9216249999999</v>
      </c>
      <c r="ES140" s="65">
        <f>HostBuild[Software Costs
'[Year 1']
(Monthly)]+HostBuild[Total Hardware Costs
(Monthly)]</f>
        <v>1076.9216249999999</v>
      </c>
      <c r="ET140" s="65">
        <f>IFERROR(IF(FIND("Safenet",HostBuild[Server Model]),Safenet_PSE_PL600_Maint,0),0)+IFERROR(IF(FIND("XI52",HostBuild[Server Model]),IBM_DIA_XI52_Maint,0),0)+HostBuild[Software Costs
'[After Year 1']
(Monthly)]+HostBuild[Total Hardware Costs
(Monthly)]</f>
        <v>1076.9216249999999</v>
      </c>
      <c r="EU140" s="66">
        <f>SUM(HostBuild[[#This Row],[Server Cost Breakdown]:[Network Cost]])</f>
        <v>187.1</v>
      </c>
      <c r="EV140" s="67">
        <f>IF(HostBuild[Existing Server?]="Yes - Inside this BoM",0,SUMIF(HostBuild[Alias],HostBuild[Alias],HostBuild[CPU])+SUMIF(HostBuild[Alias],HostBuild[Alias],HostBuild[Existing CPUs]))</f>
        <v>0</v>
      </c>
      <c r="EW140" s="67">
        <f>IF(HostBuild[Existing Server?]="Yes - Inside this BoM",0,SUMIF(HostBuild[Alias],HostBuild[Alias],HostBuild[Cores 
(Licensed Units)])+SUMIF(HostBuild[Alias],HostBuild[Alias],HostBuild[Existing Cores]))</f>
        <v>1</v>
      </c>
      <c r="EX140" s="67">
        <f>IF(HostBuild[Existing Server?]="Yes - Inside this BoM",0,SUMIF(HostBuild[Alias],HostBuild[Alias],HostBuild[RAM 
(GB)])+SUMIF(HostBuild[Alias],HostBuild[Alias],HostBuild[Existing RAM (GB)]))</f>
        <v>32</v>
      </c>
      <c r="EY14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0" s="66">
        <f>IF(ISBLANK(HostBuild[Server Model]),0,IF(HostBuild[Server Tier]="VMware",0,VLOOKUP(HostBuild[Server Tier],[1]!ServerTierRates[#Data],2,0))*HostBuild[CPU]*IF(AND(HostBuild[Server Type]="pSeries",HostBuild[Virtual Platform Storage Type]="Cloud-SAN"),0.25,1))</f>
        <v>0</v>
      </c>
      <c r="FD140" s="66">
        <f>0</f>
        <v>0</v>
      </c>
      <c r="FE140" s="66">
        <f>IF(HostBuild[Server Type]="VMware",HostBuild[RAM 
(GB)]*IF(ISERROR(FIND("DevCloud", HostBuild[Server Model])&gt;0),vRAM_per_vCPU_2014_Monthly,vRAM_per_vCPU_2014_Daily*30),0)</f>
        <v>0</v>
      </c>
      <c r="FF14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4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0" s="69">
        <f>IF(HostBuild[Server Tier]="VMware",0,IF(LEFT(HostBuild[Existing Server?],3)="Yes",0,IF(OR(HostBuild[Server Type]="Sun",HostBuild[Server Type]="pSeries"),Support_Direct_Server_Sun_per_OS_2014,IF(HostBuild[Server Type]="x86",Support_Direct_Server_x86_Wintel_per_OS_2014,0))))</f>
        <v>187.1</v>
      </c>
      <c r="FI14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1" spans="1:165" hidden="1">
      <c r="A141" s="122" t="s">
        <v>53</v>
      </c>
      <c r="B141" s="36"/>
      <c r="C141" s="36"/>
      <c r="D141" s="36"/>
      <c r="E141" s="37"/>
      <c r="F141" s="37"/>
      <c r="G141" s="103"/>
      <c r="H141" s="103"/>
      <c r="I141" s="38"/>
      <c r="J141" s="37"/>
      <c r="K141" s="37"/>
      <c r="L141" s="37"/>
      <c r="M141" s="103" t="e">
        <f ca="1">IF(rngIsDate(HostBuild[CTO Acceptance]),"Y","N")</f>
        <v>#NAME?</v>
      </c>
      <c r="N141" s="123" t="s">
        <v>3</v>
      </c>
      <c r="O141" s="39"/>
      <c r="P141" s="39"/>
      <c r="Q141" s="123" t="s">
        <v>192</v>
      </c>
      <c r="R141" s="126" t="str">
        <f>IF(NOT(ISBLANK(HostBuild[Env Label])),IFERROR(VLOOKUP(HostBuild[Env Label],[1]!tEnv[#Data],3,FALSE),""),"")</f>
        <v/>
      </c>
      <c r="S141" s="104"/>
      <c r="T141" s="40"/>
      <c r="U141" s="105"/>
      <c r="V141" s="123" t="s">
        <v>37</v>
      </c>
      <c r="W141" s="123" t="s">
        <v>39</v>
      </c>
      <c r="X141" s="123" t="s">
        <v>57</v>
      </c>
      <c r="Y141" s="123" t="s">
        <v>188</v>
      </c>
      <c r="Z141" s="126" t="str">
        <f>IF(NOT(ISBLANK(HostBuild[[#This Row],[Product 
(Acronym)]])),CONCATENATE(HostBuild[[#This Row],[Type]],"-",HostBuild[[#This Row],[Product 
(Acronym)]]),"")</f>
        <v>AP-CBOL</v>
      </c>
      <c r="AA141" s="106"/>
      <c r="AB141" s="106" t="s">
        <v>76</v>
      </c>
      <c r="AC141" s="41"/>
      <c r="AD141" s="42"/>
      <c r="AE141" s="42"/>
      <c r="AF141" s="43"/>
      <c r="AG141" s="124"/>
      <c r="AH141" s="107"/>
      <c r="AI141" s="124" t="s">
        <v>210</v>
      </c>
      <c r="AJ141" s="123">
        <f>IF(COUNTIF(HostBuild[Alias],HostBuild[Alias]),1/COUNTIF(HostBuild[Alias],HostBuild[Alias]),0)</f>
        <v>1</v>
      </c>
      <c r="AK141" s="124"/>
      <c r="AL141" s="124"/>
      <c r="AM141" s="44" t="s">
        <v>101</v>
      </c>
      <c r="AN141" s="45" t="str">
        <f>IF(NOT(ISBLANK(HostBuild[Server Model])),VLOOKUP(HostBuild[Server Model],[1]!ServerModelsTier[#Data],2,FALSE),"")</f>
        <v>IBM P-Series Tier 2</v>
      </c>
      <c r="AO141" s="45" t="str">
        <f>IF(NOT(ISBLANK(HostBuild[Server Model])),VLOOKUP(HostBuild[Server Model],[1]!ServerModelsTier[#Data],5,FALSE),"")</f>
        <v>pSeries</v>
      </c>
      <c r="AP141" s="44"/>
      <c r="AQ141" s="44" t="s">
        <v>102</v>
      </c>
      <c r="AR141" s="46"/>
      <c r="AS141" s="108"/>
      <c r="AT141" s="47">
        <v>1</v>
      </c>
      <c r="AU141" s="109"/>
      <c r="AV141" s="48">
        <v>32</v>
      </c>
      <c r="AW141" s="124"/>
      <c r="AX141" s="124"/>
      <c r="AY141" s="124"/>
      <c r="AZ141" s="49"/>
      <c r="BA141" s="124"/>
      <c r="BB141" s="124"/>
      <c r="BC141" s="42"/>
      <c r="BD141" s="124"/>
      <c r="BE141" s="124"/>
      <c r="BF141" s="124"/>
      <c r="BG141" s="124"/>
      <c r="BH141" s="124"/>
      <c r="BI141" s="124"/>
      <c r="BJ141" s="124"/>
      <c r="BK141"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41" s="127">
        <v>100</v>
      </c>
      <c r="BM141" s="129">
        <f>IF(ISNUMBER(HostBuild[Recommended SAN (GB)]),HostBuild[Recommended SAN (GB)])+IF(HostBuild[Additional SAN (GB)]&gt;0,CEILING(HostBuild[Additional SAN (GB)],LUN),-(CEILING(-HostBuild[Additional SAN (GB)],LUN)))</f>
        <v>101.10000000000001</v>
      </c>
      <c r="BN141" s="128"/>
      <c r="BO141" s="129">
        <f>HostBuild[SAN (GB)
NEEDED TODAY]+CEILING(HostBuild[SAN (GB)
RESERVED
DO NOT USE TO BUILD], LUN)</f>
        <v>101.10000000000001</v>
      </c>
      <c r="BP141" s="130"/>
      <c r="BQ141" s="131"/>
      <c r="BR141" s="125" t="s">
        <v>76</v>
      </c>
      <c r="BS141" s="110">
        <f>IF(HostBuild[Existing Server?]&lt;&gt;"Yes - Inside this BoM",IF(ISNUMBER(HostBuild[RAM 
(GB)]),IF(HostBuild[Existing RAM (GB)]+HostBuild[RAM 
(GB)]&gt;0,IF(HostBuild[Virtual Platform Storage Type]="NAS",110+HostBuild[Existing RAM (GB)]+HostBuild[RAM 
(GB)]*1.75,0),0),0),0)</f>
        <v>0</v>
      </c>
      <c r="BT141" s="111"/>
      <c r="BU141" s="112">
        <f>IF(ISNUMBER(HostBuild[Recommended NAS (GB)]),HostBuild[Recommended NAS (GB)])+HostBuild[Additional NAS (GB)]</f>
        <v>0</v>
      </c>
      <c r="BV141" s="50"/>
      <c r="BW141" s="50"/>
      <c r="BX141" s="133">
        <f>IFERROR((HostBuild[SAN (GB)
End-State
DO NOT USE TO BUILD]+HostBuild[SAN (GB) Shared])*25%,"")</f>
        <v>25.275000000000002</v>
      </c>
      <c r="BY141" s="113">
        <f>IFERROR(HostBuild[Archive
Full (GB)]*15%,"")</f>
        <v>3.7912500000000002</v>
      </c>
      <c r="BZ141" s="51"/>
      <c r="CA141" s="51"/>
      <c r="CB141" s="52"/>
      <c r="CC141" s="53"/>
      <c r="CD141" s="52"/>
      <c r="CE141" s="54"/>
      <c r="CF141" s="128"/>
      <c r="CG141" s="114"/>
      <c r="CH141" s="55"/>
      <c r="CI141" s="56"/>
      <c r="CJ141" s="57" t="s">
        <v>384</v>
      </c>
      <c r="CK141" s="58"/>
      <c r="CL141" s="59">
        <f>IFERROR(IF(FIND(CL$1,$W141)&gt;0,IF(INDEX([1]!Product_Pricing_Table[#Data],MATCH(CL$1,Products,0),2)="Cores",IF(HostBuild[Use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1" s="59">
        <f>IFERROR(IF(FIND(CM$1,$W141)&gt;0,IF(INDEX([1]!Product_Pricing_Table[#Data],MATCH(CM$1,Products,0),2)="Cores",IF(HostBuild[Use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1" s="59">
        <f>IFERROR(IF(FIND(CN$1,$W141)&gt;0,IF(INDEX([1]!Product_Pricing_Table[#Data],MATCH(CN$1,Products,0),2)="Cores",IF(HostBuild[Use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1" s="59">
        <f>IFERROR(IF(FIND(CO$1,$W141)&gt;0,IF(INDEX([1]!Product_Pricing_Table[#Data],MATCH(CO$1,Products,0),2)="Cores",IF(HostBuild[Use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1" s="59">
        <f>IFERROR(IF(FIND(CP$1,$W141)&gt;0,IF(INDEX([1]!Product_Pricing_Table[#Data],MATCH(CP$1,Products,0),2)="Cores",IF(HostBuild[Use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1" s="59">
        <f>IFERROR(IF(FIND(CQ$1,$W141)&gt;0,IF(INDEX([1]!Product_Pricing_Table[#Data],MATCH(CQ$1,Products,0),2)="Cores",IF(HostBuild[Use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1" s="59">
        <f>IFERROR(IF(FIND(CR$1,$W141)&gt;0,IF(INDEX([1]!Product_Pricing_Table[#Data],MATCH(CR$1,Products,0),2)="Cores",IF(HostBuild[Use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1" s="59">
        <f>IFERROR(IF(FIND(CS$1,$W141)&gt;0,IF(INDEX([1]!Product_Pricing_Table[#Data],MATCH(CS$1,Products,0),2)="Cores",IF(HostBuild[Use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1" s="59">
        <f>IFERROR(IF(FIND(CT$1,$W141)&gt;0,IF(INDEX([1]!Product_Pricing_Table[#Data],MATCH(CT$1,Products,0),2)="Cores",IF(HostBuild[Use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1" s="59">
        <f>IFERROR(IF(FIND(CU$1,$W141)&gt;0,IF(INDEX([1]!Product_Pricing_Table[#Data],MATCH(CU$1,Products,0),2)="Cores",IF(HostBuild[Use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1" s="59">
        <f>IFERROR(IF(FIND(CV$1,$W141)&gt;0,IF(INDEX([1]!Product_Pricing_Table[#Data],MATCH(CV$1,Products,0),2)="Cores",IF(HostBuild[Use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1" s="59">
        <f>IFERROR(IF(FIND(CW$1,$W141)&gt;0,IF(INDEX([1]!Product_Pricing_Table[#Data],MATCH(CW$1,Products,0),2)="Cores",IF(HostBuild[Use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1" s="59">
        <f>IFERROR(IF(FIND(CX$1,$W141)&gt;0,IF(INDEX([1]!Product_Pricing_Table[#Data],MATCH(CX$1,Products,0),2)="Cores",IF(HostBuild[Use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1" s="59">
        <f>IFERROR(IF(FIND(CY$1,$W141)&gt;0,IF(INDEX([1]!Product_Pricing_Table[#Data],MATCH(CY$1,Products,0),2)="Cores",IF(HostBuild[Use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1" s="59">
        <f>IFERROR(IF(FIND(CZ$1,$W141)&gt;0,IF(INDEX([1]!Product_Pricing_Table[#Data],MATCH(CZ$1,Products,0),2)="Cores",IF(HostBuild[Use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1" s="59">
        <f>IFERROR(IF(FIND(DA$1,$W141)&gt;0,IF(INDEX([1]!Product_Pricing_Table[#Data],MATCH(DA$1,Products,0),2)="Cores",IF(HostBuild[Use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1" s="59">
        <f>IFERROR(IF(FIND(DB$1,$W141)&gt;0,IF(INDEX([1]!Product_Pricing_Table[#Data],MATCH(DB$1,Products,0),2)="Cores",IF(HostBuild[Use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1" s="59">
        <f>IFERROR(IF(FIND(DC$1,$W141)&gt;0,IF(INDEX([1]!Product_Pricing_Table[#Data],MATCH(DC$1,Products,0),2)="Cores",IF(HostBuild[Use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1" s="59">
        <f>IFERROR(IF(FIND(DD$1,$W141)&gt;0,IF(INDEX([1]!Product_Pricing_Table[#Data],MATCH(DD$1,Products,0),2)="Cores",IF(HostBuild[Use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1" s="59">
        <f>IFERROR(IF(FIND(DE$1,$W141)&gt;0,IF(INDEX([1]!Product_Pricing_Table[#Data],MATCH(DE$1,Products,0),2)="Cores",IF(HostBuild[Use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1" s="60">
        <f>IFERROR(IF(FIND(DF$1,$W141)&gt;0,IF(INDEX([1]!Product_Pricing_Table[#Data],MATCH(DF$1,Products,0),2)="Cores",IF(HostBuild[Use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1" s="60">
        <f>IFERROR(IF(FIND(DG$1,$W141)&gt;0,IF(INDEX([1]!Product_Pricing_Table[#Data],MATCH(DG$1,Products,0),2)="Cores",IF(HostBuild[Use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1" s="59">
        <f>IFERROR(IF(FIND(DH$1,$W141)&gt;0,IF(INDEX([1]!Product_Pricing_Table[#Data],MATCH(DH$1,Products,0),2)="Cores",IF(HostBuild[Use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1" s="60">
        <f>IFERROR(IF(FIND(DI$1,$W141)&gt;0,IF(INDEX([1]!Product_Pricing_Table[#Data],MATCH(DI$1,Products,0),2)="Cores",IF(HostBuild[Use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1" s="59">
        <f>IFERROR(IF(FIND(DJ$1,$W141)&gt;0,IF(INDEX([1]!Product_Pricing_Table[#Data],MATCH(DJ$1,Products,0),2)="Cores",IF(HostBuild[Use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1" s="59">
        <f>IFERROR(IF(FIND(DK$1,$W141)&gt;0,IF(INDEX([1]!Product_Pricing_Table[#Data],MATCH(DK$1,Products,0),2)="Cores",IF(HostBuild[Use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1" s="59">
        <f>IFERROR(IF(FIND(DL$1,$W141)&gt;0,IF(INDEX([1]!Product_Pricing_Table[#Data],MATCH(DL$1,Products,0),2)="Cores",IF(HostBuild[Use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1" s="59">
        <f>IFERROR(IF(FIND(DM$1,$W141)&gt;0,IF(INDEX([1]!Product_Pricing_Table[#Data],MATCH(DM$1,Products,0),2)="Cores",IF(HostBuild[Use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1" s="59">
        <f>IFERROR(IF(FIND(DN$1,$W141)&gt;0,IF(INDEX([1]!Product_Pricing_Table[#Data],MATCH(DN$1,Products,0),2)="Cores",IF(HostBuild[Use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1" s="59">
        <f>IFERROR(IF(FIND(DO$1,$W141)&gt;0,IF(INDEX([1]!Product_Pricing_Table[#Data],MATCH(DO$1,Products,0),2)="Cores",IF(HostBuild[Use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1" s="59">
        <f>IFERROR(IF(FIND(DP$1,$W141)&gt;0,IF(INDEX([1]!Product_Pricing_Table[#Data],MATCH(DP$1,Products,0),2)="Cores",IF(HostBuild[Use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1" s="59">
        <f>IFERROR(IF(FIND(DQ$1,$W141)&gt;0,IF(INDEX([1]!Product_Pricing_Table[#Data],MATCH(DQ$1,Products,0),2)="Cores",IF(HostBuild[Use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1" s="59">
        <f>IFERROR(IF(FIND(DR$1,$W141)&gt;0,IF(INDEX([1]!Product_Pricing_Table[#Data],MATCH(DR$1,Products,0),2)="Cores",IF(HostBuild[Use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1" s="59">
        <f>IFERROR(IF(FIND(DS$1,$W141)&gt;0,IF(INDEX([1]!Product_Pricing_Table[#Data],MATCH(DS$1,Products,0),2)="Cores",IF(HostBuild[Use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1" s="59">
        <f>IFERROR(IF(FIND(DT$1,$W141)&gt;0,IF(INDEX([1]!Product_Pricing_Table[#Data],MATCH(DT$1,Products,0),2)="Cores",IF(HostBuild[Use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1" s="59">
        <f>IFERROR(IF(FIND(DU$1,$W141)&gt;0,IF(INDEX([1]!Product_Pricing_Table[#Data],MATCH(DU$1,Products,0),2)="Cores",IF(HostBuild[Use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1" s="59">
        <f>IFERROR(IF(FIND(DV$1,$W141)&gt;0,IF(INDEX([1]!Product_Pricing_Table[#Data],MATCH(DV$1,Products,0),2)="Cores",IF(HostBuild[Use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1" s="59">
        <f>IFERROR(IF(FIND(DW$1,$W141)&gt;0,IF(INDEX([1]!Product_Pricing_Table[#Data],MATCH(DW$1,Products,0),2)="Cores",IF(HostBuild[Use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1" s="59">
        <f>IFERROR(IF(FIND(DX$1,$W141)&gt;0,IF(INDEX([1]!Product_Pricing_Table[#Data],MATCH(DX$1,Products,0),2)="Cores",IF(HostBuild[Use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1" s="59">
        <f>IFERROR(IF(FIND(DY$1,$W141)&gt;0,IF(INDEX([1]!Product_Pricing_Table[#Data],MATCH(DY$1,Products,0),2)="Cores",IF(HostBuild[Use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1" s="59">
        <f>IFERROR(IF(FIND(DZ$1,$W141)&gt;0,IF(INDEX([1]!Product_Pricing_Table[#Data],MATCH(DZ$1,Products,0),2)="Cores",IF(HostBuild[Use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1" s="59">
        <f>IFERROR(IF(FIND(EA$1,$W141)&gt;0,IF(INDEX([1]!Product_Pricing_Table[#Data],MATCH(EA$1,Products,0),2)="Cores",IF(HostBuild[Use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1" s="59">
        <f>IFERROR(IF(FIND(EB$1,$W141)&gt;0,IF(INDEX([1]!Product_Pricing_Table[#Data],MATCH(EB$1,Products,0),2)="Cores",IF(HostBuild[Use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1" s="60">
        <f>IFERROR(IF(FIND(EC$1,$W141)&gt;0,IF(INDEX([1]!Product_Pricing_Table[#Data],MATCH(EC$1,Products,0),2)="Cores",IF(HostBuild[Use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1" s="59">
        <f>IFERROR(IF(FIND(ED$1,$W141)&gt;0,IF(INDEX([1]!Product_Pricing_Table[#Data],MATCH(ED$1,Products,0),2)="Cores",IF(HostBuild[Use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1" s="59">
        <f>IFERROR(IF(FIND(EE$1,$W141)&gt;0,IF(INDEX([1]!Product_Pricing_Table[#Data],MATCH(EE$1,Products,0),2)="Cores",IF(HostBuild[Use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1" s="59">
        <f>IFERROR(IF(FIND(EF$1,$W141)&gt;0,IF(INDEX([1]!Product_Pricing_Table[#Data],MATCH(EF$1,Products,0),2)="Cores",IF(HostBuild[Use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1" s="59">
        <f>IFERROR(IF(FIND(EG$1,$W141)&gt;0,IF(INDEX([1]!Product_Pricing_Table[#Data],MATCH(EG$1,Products,0),2)="Cores",IF(HostBuild[Use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1" s="59">
        <f>IFERROR(IF(FIND(EH$1,$W141)&gt;0,IF(INDEX([1]!Product_Pricing_Table[#Data],MATCH(EH$1,Products,0),2)="Cores",IF(HostBuild[Use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1" s="59">
        <f>IFERROR(IF(FIND(EI$1,$W141)&gt;0,IF(INDEX([1]!Product_Pricing_Table[#Data],MATCH(EI$1,Products,0),2)="Cores",IF(HostBuild[Use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1" s="59">
        <f>IFERROR(IF(FIND(EJ$1,$W141)&gt;0,IF(INDEX([1]!Product_Pricing_Table[#Data],MATCH(EJ$1,Products,0),2)="Cores",IF(HostBuild[Use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1" s="60">
        <f>IFERROR(IF(FIND(EK$1,$W141)&gt;0,IF(INDEX([1]!Product_Pricing_Table[#Data],MATCH(EK$1,Products,0),2)="Cores",IF(HostBuild[Use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1" s="61"/>
      <c r="EM141" s="62">
        <v>0</v>
      </c>
      <c r="EN141" s="63">
        <v>0</v>
      </c>
      <c r="EO141" s="64">
        <f>IF(OR(ISBLANK(HostBuild[Alias]),HostBuild[Server Tier]="",),0,IF(HostBuild[Server Tier]="SafeNet",Safenet_PSE_PL600+HostBuild[Network Cost],IF(HostBuild[Server Tier]="VMware",HostBuild[New VMware (Adjusted)]+HostBuild[Initial Server Cost],IF(HostBuild[Server Tier]="XI52",IBM_DIA_XI52,HostBuild[Initial Server Cost]))))</f>
        <v>187.1</v>
      </c>
      <c r="EP14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45.495000000000005</v>
      </c>
      <c r="EQ141" s="132">
        <f>(HostBuild[Archive
Full (GB)]+HostBuild[Archive
Incr (GB)])*Storage_DC_Dist_Tape_2014</f>
        <v>10.173187500000001</v>
      </c>
      <c r="ER141" s="132">
        <f>IF(ISNUMBER(HostBuild[Server HW Costs
(Monthly)]),SUM(HostBuild[[#This Row],[Server HW Costs
(Monthly)]:[Tape Costs
(Monthly)]]),0)</f>
        <v>242.76818750000001</v>
      </c>
      <c r="ES141" s="65">
        <f>HostBuild[Software Costs
'[Year 1']
(Monthly)]+HostBuild[Total Hardware Costs
(Monthly)]</f>
        <v>242.76818750000001</v>
      </c>
      <c r="ET141" s="65">
        <f>IFERROR(IF(FIND("Safenet",HostBuild[Server Model]),Safenet_PSE_PL600_Maint,0),0)+IFERROR(IF(FIND("XI52",HostBuild[Server Model]),IBM_DIA_XI52_Maint,0),0)+HostBuild[Software Costs
'[After Year 1']
(Monthly)]+HostBuild[Total Hardware Costs
(Monthly)]</f>
        <v>242.76818750000001</v>
      </c>
      <c r="EU141" s="66">
        <f>SUM(HostBuild[[#This Row],[Server Cost Breakdown]:[Network Cost]])</f>
        <v>187.1</v>
      </c>
      <c r="EV141" s="67">
        <f>IF(HostBuild[Existing Server?]="Yes - Inside this BoM",0,SUMIF(HostBuild[Alias],HostBuild[Alias],HostBuild[CPU])+SUMIF(HostBuild[Alias],HostBuild[Alias],HostBuild[Existing CPUs]))</f>
        <v>0</v>
      </c>
      <c r="EW141" s="67">
        <f>IF(HostBuild[Existing Server?]="Yes - Inside this BoM",0,SUMIF(HostBuild[Alias],HostBuild[Alias],HostBuild[Cores 
(Licensed Units)])+SUMIF(HostBuild[Alias],HostBuild[Alias],HostBuild[Existing Cores]))</f>
        <v>1</v>
      </c>
      <c r="EX141" s="67">
        <f>IF(HostBuild[Existing Server?]="Yes - Inside this BoM",0,SUMIF(HostBuild[Alias],HostBuild[Alias],HostBuild[RAM 
(GB)])+SUMIF(HostBuild[Alias],HostBuild[Alias],HostBuild[Existing RAM (GB)]))</f>
        <v>32</v>
      </c>
      <c r="EY14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1" s="66">
        <f>IF(ISBLANK(HostBuild[Server Model]),0,IF(HostBuild[Server Tier]="VMware",0,VLOOKUP(HostBuild[Server Tier],[1]!ServerTierRates[#Data],2,0))*HostBuild[CPU]*IF(AND(HostBuild[Server Type]="pSeries",HostBuild[Virtual Platform Storage Type]="Cloud-SAN"),0.25,1))</f>
        <v>0</v>
      </c>
      <c r="FD141" s="66">
        <f>0</f>
        <v>0</v>
      </c>
      <c r="FE141" s="66">
        <f>IF(HostBuild[Server Type]="VMware",HostBuild[RAM 
(GB)]*IF(ISERROR(FIND("DevCloud", HostBuild[Server Model])&gt;0),vRAM_per_vCPU_2014_Monthly,vRAM_per_vCPU_2014_Daily*30),0)</f>
        <v>0</v>
      </c>
      <c r="FF14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4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1" s="69">
        <f>IF(HostBuild[Server Tier]="VMware",0,IF(LEFT(HostBuild[Existing Server?],3)="Yes",0,IF(OR(HostBuild[Server Type]="Sun",HostBuild[Server Type]="pSeries"),Support_Direct_Server_Sun_per_OS_2014,IF(HostBuild[Server Type]="x86",Support_Direct_Server_x86_Wintel_per_OS_2014,0))))</f>
        <v>187.1</v>
      </c>
      <c r="FI14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2" spans="1:165" hidden="1">
      <c r="A142" s="122" t="s">
        <v>53</v>
      </c>
      <c r="B142" s="36"/>
      <c r="C142" s="36"/>
      <c r="D142" s="36"/>
      <c r="E142" s="37"/>
      <c r="F142" s="37"/>
      <c r="G142" s="103"/>
      <c r="H142" s="103"/>
      <c r="I142" s="38"/>
      <c r="J142" s="37"/>
      <c r="K142" s="37"/>
      <c r="L142" s="37"/>
      <c r="M142" s="103" t="e">
        <f ca="1">IF(rngIsDate(HostBuild[CTO Acceptance]),"Y","N")</f>
        <v>#NAME?</v>
      </c>
      <c r="N142" s="123" t="s">
        <v>3</v>
      </c>
      <c r="O142" s="39"/>
      <c r="P142" s="39"/>
      <c r="Q142" s="123" t="s">
        <v>192</v>
      </c>
      <c r="R142" s="126" t="str">
        <f>IF(NOT(ISBLANK(HostBuild[Env Label])),IFERROR(VLOOKUP(HostBuild[Env Label],[1]!tEnv[#Data],3,FALSE),""),"")</f>
        <v/>
      </c>
      <c r="S142" s="104"/>
      <c r="T142" s="40"/>
      <c r="U142" s="105"/>
      <c r="V142" s="123" t="s">
        <v>41</v>
      </c>
      <c r="W142" s="123" t="s">
        <v>43</v>
      </c>
      <c r="X142" s="123" t="s">
        <v>57</v>
      </c>
      <c r="Y142" s="123" t="s">
        <v>188</v>
      </c>
      <c r="Z142" s="126" t="str">
        <f>IF(NOT(ISBLANK(HostBuild[[#This Row],[Product 
(Acronym)]])),CONCATENATE(HostBuild[[#This Row],[Type]],"-",HostBuild[[#This Row],[Product 
(Acronym)]]),"")</f>
        <v>AP-CBOL</v>
      </c>
      <c r="AA142" s="106"/>
      <c r="AB142" s="106" t="s">
        <v>59</v>
      </c>
      <c r="AC142" s="41"/>
      <c r="AD142" s="42"/>
      <c r="AE142" s="42"/>
      <c r="AF142" s="43" t="s">
        <v>60</v>
      </c>
      <c r="AG142" s="124"/>
      <c r="AH142" s="107"/>
      <c r="AI142" s="124" t="s">
        <v>48</v>
      </c>
      <c r="AJ142" s="123">
        <f>IF(COUNTIF(HostBuild[Alias],HostBuild[Alias]),1/COUNTIF(HostBuild[Alias],HostBuild[Alias]),0)</f>
        <v>1</v>
      </c>
      <c r="AK142" s="124"/>
      <c r="AL142" s="124"/>
      <c r="AM142" s="44" t="s">
        <v>101</v>
      </c>
      <c r="AN142" s="45" t="str">
        <f>IF(NOT(ISBLANK(HostBuild[Server Model])),VLOOKUP(HostBuild[Server Model],[1]!ServerModelsTier[#Data],2,FALSE),"")</f>
        <v>IBM P-Series Tier 2</v>
      </c>
      <c r="AO142" s="45" t="str">
        <f>IF(NOT(ISBLANK(HostBuild[Server Model])),VLOOKUP(HostBuild[Server Model],[1]!ServerModelsTier[#Data],5,FALSE),"")</f>
        <v>pSeries</v>
      </c>
      <c r="AP142" s="44"/>
      <c r="AQ142" s="44" t="s">
        <v>102</v>
      </c>
      <c r="AR142" s="46"/>
      <c r="AS142" s="108"/>
      <c r="AT142" s="47">
        <v>1</v>
      </c>
      <c r="AU142" s="109"/>
      <c r="AV142" s="48">
        <v>16</v>
      </c>
      <c r="AW142" s="124"/>
      <c r="AX142" s="124"/>
      <c r="AY142" s="124"/>
      <c r="AZ142" s="49"/>
      <c r="BA142" s="124"/>
      <c r="BB142" s="124"/>
      <c r="BC142" s="42"/>
      <c r="BD142" s="124"/>
      <c r="BE142" s="124"/>
      <c r="BF142" s="124"/>
      <c r="BG142" s="124"/>
      <c r="BH142" s="124"/>
      <c r="BI142" s="124"/>
      <c r="BJ142" s="124"/>
      <c r="BK142"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42" s="127">
        <v>60</v>
      </c>
      <c r="BM142" s="129">
        <f>IF(ISNUMBER(HostBuild[Recommended SAN (GB)]),HostBuild[Recommended SAN (GB)])+IF(HostBuild[Additional SAN (GB)]&gt;0,CEILING(HostBuild[Additional SAN (GB)],LUN),-(CEILING(-HostBuild[Additional SAN (GB)],LUN)))</f>
        <v>67.400000000000006</v>
      </c>
      <c r="BN142" s="128"/>
      <c r="BO142" s="129">
        <f>HostBuild[SAN (GB)
NEEDED TODAY]+CEILING(HostBuild[SAN (GB)
RESERVED
DO NOT USE TO BUILD], LUN)</f>
        <v>67.400000000000006</v>
      </c>
      <c r="BP142" s="130"/>
      <c r="BQ142" s="131"/>
      <c r="BR142" s="125" t="s">
        <v>76</v>
      </c>
      <c r="BS142" s="110">
        <f>IF(HostBuild[Existing Server?]&lt;&gt;"Yes - Inside this BoM",IF(ISNUMBER(HostBuild[RAM 
(GB)]),IF(HostBuild[Existing RAM (GB)]+HostBuild[RAM 
(GB)]&gt;0,IF(HostBuild[Virtual Platform Storage Type]="NAS",110+HostBuild[Existing RAM (GB)]+HostBuild[RAM 
(GB)]*1.75,0),0),0),0)</f>
        <v>0</v>
      </c>
      <c r="BT142" s="111"/>
      <c r="BU142" s="112">
        <f>IF(ISNUMBER(HostBuild[Recommended NAS (GB)]),HostBuild[Recommended NAS (GB)])+HostBuild[Additional NAS (GB)]</f>
        <v>0</v>
      </c>
      <c r="BV142" s="50"/>
      <c r="BW142" s="50"/>
      <c r="BX142" s="133">
        <f>IFERROR((HostBuild[SAN (GB)
End-State
DO NOT USE TO BUILD]+HostBuild[SAN (GB) Shared])*25%,"")</f>
        <v>16.850000000000001</v>
      </c>
      <c r="BY142" s="113">
        <f>IFERROR(HostBuild[Archive
Full (GB)]*15%,"")</f>
        <v>2.5275000000000003</v>
      </c>
      <c r="BZ142" s="51"/>
      <c r="CA142" s="51"/>
      <c r="CB142" s="52"/>
      <c r="CC142" s="53"/>
      <c r="CD142" s="52"/>
      <c r="CE142" s="54"/>
      <c r="CF142" s="128"/>
      <c r="CG142" s="114"/>
      <c r="CH142" s="55"/>
      <c r="CI142" s="56"/>
      <c r="CJ142" s="57" t="s">
        <v>384</v>
      </c>
      <c r="CK142" s="58"/>
      <c r="CL142" s="59">
        <f>IFERROR(IF(FIND(CL$1,$W142)&gt;0,IF(INDEX([1]!Product_Pricing_Table[#Data],MATCH(CL$1,Products,0),2)="Cores",IF(HostBuild[Use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2" s="59">
        <f>IFERROR(IF(FIND(CM$1,$W142)&gt;0,IF(INDEX([1]!Product_Pricing_Table[#Data],MATCH(CM$1,Products,0),2)="Cores",IF(HostBuild[Use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2" s="59">
        <f>IFERROR(IF(FIND(CN$1,$W142)&gt;0,IF(INDEX([1]!Product_Pricing_Table[#Data],MATCH(CN$1,Products,0),2)="Cores",IF(HostBuild[Use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2" s="59">
        <f>IFERROR(IF(FIND(CO$1,$W142)&gt;0,IF(INDEX([1]!Product_Pricing_Table[#Data],MATCH(CO$1,Products,0),2)="Cores",IF(HostBuild[Use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2" s="59">
        <f>IFERROR(IF(FIND(CP$1,$W142)&gt;0,IF(INDEX([1]!Product_Pricing_Table[#Data],MATCH(CP$1,Products,0),2)="Cores",IF(HostBuild[Use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2" s="59">
        <f>IFERROR(IF(FIND(CQ$1,$W142)&gt;0,IF(INDEX([1]!Product_Pricing_Table[#Data],MATCH(CQ$1,Products,0),2)="Cores",IF(HostBuild[Use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2" s="59">
        <f>IFERROR(IF(FIND(CR$1,$W142)&gt;0,IF(INDEX([1]!Product_Pricing_Table[#Data],MATCH(CR$1,Products,0),2)="Cores",IF(HostBuild[Use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2" s="59">
        <f>IFERROR(IF(FIND(CS$1,$W142)&gt;0,IF(INDEX([1]!Product_Pricing_Table[#Data],MATCH(CS$1,Products,0),2)="Cores",IF(HostBuild[Use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2" s="59">
        <f>IFERROR(IF(FIND(CT$1,$W142)&gt;0,IF(INDEX([1]!Product_Pricing_Table[#Data],MATCH(CT$1,Products,0),2)="Cores",IF(HostBuild[Use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2" s="59">
        <f>IFERROR(IF(FIND(CU$1,$W142)&gt;0,IF(INDEX([1]!Product_Pricing_Table[#Data],MATCH(CU$1,Products,0),2)="Cores",IF(HostBuild[Use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2" s="59">
        <f>IFERROR(IF(FIND(CV$1,$W142)&gt;0,IF(INDEX([1]!Product_Pricing_Table[#Data],MATCH(CV$1,Products,0),2)="Cores",IF(HostBuild[Use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2" s="59">
        <f>IFERROR(IF(FIND(CW$1,$W142)&gt;0,IF(INDEX([1]!Product_Pricing_Table[#Data],MATCH(CW$1,Products,0),2)="Cores",IF(HostBuild[Use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2" s="59">
        <f>IFERROR(IF(FIND(CX$1,$W142)&gt;0,IF(INDEX([1]!Product_Pricing_Table[#Data],MATCH(CX$1,Products,0),2)="Cores",IF(HostBuild[Use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2" s="59">
        <f>IFERROR(IF(FIND(CY$1,$W142)&gt;0,IF(INDEX([1]!Product_Pricing_Table[#Data],MATCH(CY$1,Products,0),2)="Cores",IF(HostBuild[Use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2" s="59">
        <f>IFERROR(IF(FIND(CZ$1,$W142)&gt;0,IF(INDEX([1]!Product_Pricing_Table[#Data],MATCH(CZ$1,Products,0),2)="Cores",IF(HostBuild[Use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2" s="59">
        <f>IFERROR(IF(FIND(DA$1,$W142)&gt;0,IF(INDEX([1]!Product_Pricing_Table[#Data],MATCH(DA$1,Products,0),2)="Cores",IF(HostBuild[Use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2" s="59">
        <f>IFERROR(IF(FIND(DB$1,$W142)&gt;0,IF(INDEX([1]!Product_Pricing_Table[#Data],MATCH(DB$1,Products,0),2)="Cores",IF(HostBuild[Use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2" s="59">
        <f>IFERROR(IF(FIND(DC$1,$W142)&gt;0,IF(INDEX([1]!Product_Pricing_Table[#Data],MATCH(DC$1,Products,0),2)="Cores",IF(HostBuild[Use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2" s="59">
        <f>IFERROR(IF(FIND(DD$1,$W142)&gt;0,IF(INDEX([1]!Product_Pricing_Table[#Data],MATCH(DD$1,Products,0),2)="Cores",IF(HostBuild[Use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2" s="59">
        <f>IFERROR(IF(FIND(DE$1,$W142)&gt;0,IF(INDEX([1]!Product_Pricing_Table[#Data],MATCH(DE$1,Products,0),2)="Cores",IF(HostBuild[Use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2" s="60">
        <f>IFERROR(IF(FIND(DF$1,$W142)&gt;0,IF(INDEX([1]!Product_Pricing_Table[#Data],MATCH(DF$1,Products,0),2)="Cores",IF(HostBuild[Use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2" s="60">
        <f>IFERROR(IF(FIND(DG$1,$W142)&gt;0,IF(INDEX([1]!Product_Pricing_Table[#Data],MATCH(DG$1,Products,0),2)="Cores",IF(HostBuild[Use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2" s="59">
        <f>IFERROR(IF(FIND(DH$1,$W142)&gt;0,IF(INDEX([1]!Product_Pricing_Table[#Data],MATCH(DH$1,Products,0),2)="Cores",IF(HostBuild[Use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2" s="60">
        <f>IFERROR(IF(FIND(DI$1,$W142)&gt;0,IF(INDEX([1]!Product_Pricing_Table[#Data],MATCH(DI$1,Products,0),2)="Cores",IF(HostBuild[Use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2" s="59">
        <f>IFERROR(IF(FIND(DJ$1,$W142)&gt;0,IF(INDEX([1]!Product_Pricing_Table[#Data],MATCH(DJ$1,Products,0),2)="Cores",IF(HostBuild[Use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2" s="59">
        <f>IFERROR(IF(FIND(DK$1,$W142)&gt;0,IF(INDEX([1]!Product_Pricing_Table[#Data],MATCH(DK$1,Products,0),2)="Cores",IF(HostBuild[Use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2" s="59">
        <f>IFERROR(IF(FIND(DL$1,$W142)&gt;0,IF(INDEX([1]!Product_Pricing_Table[#Data],MATCH(DL$1,Products,0),2)="Cores",IF(HostBuild[Use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2" s="59">
        <f>IFERROR(IF(FIND(DM$1,$W142)&gt;0,IF(INDEX([1]!Product_Pricing_Table[#Data],MATCH(DM$1,Products,0),2)="Cores",IF(HostBuild[Use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2" s="59">
        <f>IFERROR(IF(FIND(DN$1,$W142)&gt;0,IF(INDEX([1]!Product_Pricing_Table[#Data],MATCH(DN$1,Products,0),2)="Cores",IF(HostBuild[Use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2" s="59">
        <f>IFERROR(IF(FIND(DO$1,$W142)&gt;0,IF(INDEX([1]!Product_Pricing_Table[#Data],MATCH(DO$1,Products,0),2)="Cores",IF(HostBuild[Use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2" s="59">
        <f>IFERROR(IF(FIND(DP$1,$W142)&gt;0,IF(INDEX([1]!Product_Pricing_Table[#Data],MATCH(DP$1,Products,0),2)="Cores",IF(HostBuild[Use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2" s="59">
        <f>IFERROR(IF(FIND(DQ$1,$W142)&gt;0,IF(INDEX([1]!Product_Pricing_Table[#Data],MATCH(DQ$1,Products,0),2)="Cores",IF(HostBuild[Use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2" s="59">
        <f>IFERROR(IF(FIND(DR$1,$W142)&gt;0,IF(INDEX([1]!Product_Pricing_Table[#Data],MATCH(DR$1,Products,0),2)="Cores",IF(HostBuild[Use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2" s="59">
        <f>IFERROR(IF(FIND(DS$1,$W142)&gt;0,IF(INDEX([1]!Product_Pricing_Table[#Data],MATCH(DS$1,Products,0),2)="Cores",IF(HostBuild[Use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2" s="59">
        <f>IFERROR(IF(FIND(DT$1,$W142)&gt;0,IF(INDEX([1]!Product_Pricing_Table[#Data],MATCH(DT$1,Products,0),2)="Cores",IF(HostBuild[Use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2" s="59">
        <f>IFERROR(IF(FIND(DU$1,$W142)&gt;0,IF(INDEX([1]!Product_Pricing_Table[#Data],MATCH(DU$1,Products,0),2)="Cores",IF(HostBuild[Use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2" s="59">
        <f>IFERROR(IF(FIND(DV$1,$W142)&gt;0,IF(INDEX([1]!Product_Pricing_Table[#Data],MATCH(DV$1,Products,0),2)="Cores",IF(HostBuild[Use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2" s="59">
        <f>IFERROR(IF(FIND(DW$1,$W142)&gt;0,IF(INDEX([1]!Product_Pricing_Table[#Data],MATCH(DW$1,Products,0),2)="Cores",IF(HostBuild[Use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2" s="59">
        <f>IFERROR(IF(FIND(DX$1,$W142)&gt;0,IF(INDEX([1]!Product_Pricing_Table[#Data],MATCH(DX$1,Products,0),2)="Cores",IF(HostBuild[Use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2" s="59">
        <f>IFERROR(IF(FIND(DY$1,$W142)&gt;0,IF(INDEX([1]!Product_Pricing_Table[#Data],MATCH(DY$1,Products,0),2)="Cores",IF(HostBuild[Use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2" s="59">
        <f>IFERROR(IF(FIND(DZ$1,$W142)&gt;0,IF(INDEX([1]!Product_Pricing_Table[#Data],MATCH(DZ$1,Products,0),2)="Cores",IF(HostBuild[Use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2" s="59">
        <f>IFERROR(IF(FIND(EA$1,$W142)&gt;0,IF(INDEX([1]!Product_Pricing_Table[#Data],MATCH(EA$1,Products,0),2)="Cores",IF(HostBuild[Use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2" s="59">
        <f>IFERROR(IF(FIND(EB$1,$W142)&gt;0,IF(INDEX([1]!Product_Pricing_Table[#Data],MATCH(EB$1,Products,0),2)="Cores",IF(HostBuild[Use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2" s="60">
        <f>IFERROR(IF(FIND(EC$1,$W142)&gt;0,IF(INDEX([1]!Product_Pricing_Table[#Data],MATCH(EC$1,Products,0),2)="Cores",IF(HostBuild[Use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2" s="59">
        <f>IFERROR(IF(FIND(ED$1,$W142)&gt;0,IF(INDEX([1]!Product_Pricing_Table[#Data],MATCH(ED$1,Products,0),2)="Cores",IF(HostBuild[Use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2" s="59">
        <f>IFERROR(IF(FIND(EE$1,$W142)&gt;0,IF(INDEX([1]!Product_Pricing_Table[#Data],MATCH(EE$1,Products,0),2)="Cores",IF(HostBuild[Use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2" s="59">
        <f>IFERROR(IF(FIND(EF$1,$W142)&gt;0,IF(INDEX([1]!Product_Pricing_Table[#Data],MATCH(EF$1,Products,0),2)="Cores",IF(HostBuild[Use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2" s="59">
        <f>IFERROR(IF(FIND(EG$1,$W142)&gt;0,IF(INDEX([1]!Product_Pricing_Table[#Data],MATCH(EG$1,Products,0),2)="Cores",IF(HostBuild[Use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2" s="59">
        <f>IFERROR(IF(FIND(EH$1,$W142)&gt;0,IF(INDEX([1]!Product_Pricing_Table[#Data],MATCH(EH$1,Products,0),2)="Cores",IF(HostBuild[Use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2" s="59">
        <f>IFERROR(IF(FIND(EI$1,$W142)&gt;0,IF(INDEX([1]!Product_Pricing_Table[#Data],MATCH(EI$1,Products,0),2)="Cores",IF(HostBuild[Use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2" s="59">
        <f>IFERROR(IF(FIND(EJ$1,$W142)&gt;0,IF(INDEX([1]!Product_Pricing_Table[#Data],MATCH(EJ$1,Products,0),2)="Cores",IF(HostBuild[Use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2" s="60">
        <f>IFERROR(IF(FIND(EK$1,$W142)&gt;0,IF(INDEX([1]!Product_Pricing_Table[#Data],MATCH(EK$1,Products,0),2)="Cores",IF(HostBuild[Use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2" s="61"/>
      <c r="EM142" s="62">
        <v>0</v>
      </c>
      <c r="EN142" s="63">
        <v>0</v>
      </c>
      <c r="EO142"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4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30.330000000000002</v>
      </c>
      <c r="EQ142" s="132">
        <f>(HostBuild[Archive
Full (GB)]+HostBuild[Archive
Incr (GB)])*Storage_DC_Dist_Tape_2014</f>
        <v>6.7821249999999997</v>
      </c>
      <c r="ER142" s="132">
        <f>IF(ISNUMBER(HostBuild[Server HW Costs
(Monthly)]),SUM(HostBuild[[#This Row],[Server HW Costs
(Monthly)]:[Tape Costs
(Monthly)]]),0)</f>
        <v>37.112124999999999</v>
      </c>
      <c r="ES142" s="65">
        <f>HostBuild[Software Costs
'[Year 1']
(Monthly)]+HostBuild[Total Hardware Costs
(Monthly)]</f>
        <v>37.112124999999999</v>
      </c>
      <c r="ET142" s="65">
        <f>IFERROR(IF(FIND("Safenet",HostBuild[Server Model]),Safenet_PSE_PL600_Maint,0),0)+IFERROR(IF(FIND("XI52",HostBuild[Server Model]),IBM_DIA_XI52_Maint,0),0)+HostBuild[Software Costs
'[After Year 1']
(Monthly)]+HostBuild[Total Hardware Costs
(Monthly)]</f>
        <v>37.112124999999999</v>
      </c>
      <c r="EU142" s="66">
        <f>SUM(HostBuild[[#This Row],[Server Cost Breakdown]:[Network Cost]])</f>
        <v>0</v>
      </c>
      <c r="EV142" s="67">
        <f>IF(HostBuild[Existing Server?]="Yes - Inside this BoM",0,SUMIF(HostBuild[Alias],HostBuild[Alias],HostBuild[CPU])+SUMIF(HostBuild[Alias],HostBuild[Alias],HostBuild[Existing CPUs]))</f>
        <v>0</v>
      </c>
      <c r="EW142" s="67">
        <f>IF(HostBuild[Existing Server?]="Yes - Inside this BoM",0,SUMIF(HostBuild[Alias],HostBuild[Alias],HostBuild[Cores 
(Licensed Units)])+SUMIF(HostBuild[Alias],HostBuild[Alias],HostBuild[Existing Cores]))</f>
        <v>1</v>
      </c>
      <c r="EX142" s="67">
        <f>IF(HostBuild[Existing Server?]="Yes - Inside this BoM",0,SUMIF(HostBuild[Alias],HostBuild[Alias],HostBuild[RAM 
(GB)])+SUMIF(HostBuild[Alias],HostBuild[Alias],HostBuild[Existing RAM (GB)]))</f>
        <v>16</v>
      </c>
      <c r="EY14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2" s="66">
        <f>IF(ISBLANK(HostBuild[Server Model]),0,IF(HostBuild[Server Tier]="VMware",0,VLOOKUP(HostBuild[Server Tier],[1]!ServerTierRates[#Data],2,0))*HostBuild[CPU]*IF(AND(HostBuild[Server Type]="pSeries",HostBuild[Virtual Platform Storage Type]="Cloud-SAN"),0.25,1))</f>
        <v>0</v>
      </c>
      <c r="FD142" s="66">
        <f>0</f>
        <v>0</v>
      </c>
      <c r="FE142" s="66">
        <f>IF(HostBuild[Server Type]="VMware",HostBuild[RAM 
(GB)]*IF(ISERROR(FIND("DevCloud", HostBuild[Server Model])&gt;0),vRAM_per_vCPU_2014_Monthly,vRAM_per_vCPU_2014_Daily*30),0)</f>
        <v>0</v>
      </c>
      <c r="FF14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4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2" s="69">
        <f>IF(HostBuild[Server Tier]="VMware",0,IF(LEFT(HostBuild[Existing Server?],3)="Yes",0,IF(OR(HostBuild[Server Type]="Sun",HostBuild[Server Type]="pSeries"),Support_Direct_Server_Sun_per_OS_2014,IF(HostBuild[Server Type]="x86",Support_Direct_Server_x86_Wintel_per_OS_2014,0))))</f>
        <v>0</v>
      </c>
      <c r="FI14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3" spans="1:165">
      <c r="A143" s="122" t="s">
        <v>53</v>
      </c>
      <c r="B143" s="36"/>
      <c r="C143" s="36"/>
      <c r="D143" s="36"/>
      <c r="E143" s="37"/>
      <c r="F143" s="37"/>
      <c r="G143" s="103"/>
      <c r="H143" s="103"/>
      <c r="I143" s="38"/>
      <c r="J143" s="37"/>
      <c r="K143" s="37"/>
      <c r="L143" s="37"/>
      <c r="M143" s="103" t="e">
        <f ca="1">IF(rngIsDate(HostBuild[CTO Acceptance]),"Y","N")</f>
        <v>#NAME?</v>
      </c>
      <c r="N143" s="123" t="s">
        <v>181</v>
      </c>
      <c r="O143" s="39"/>
      <c r="P143" s="39"/>
      <c r="Q143" s="123" t="s">
        <v>2</v>
      </c>
      <c r="R143" s="126" t="str">
        <f>IF(NOT(ISBLANK(HostBuild[Env Label])),IFERROR(VLOOKUP(HostBuild[Env Label],[1]!tEnv[#Data],3,FALSE),""),"")</f>
        <v/>
      </c>
      <c r="S143" s="104"/>
      <c r="T143" s="40"/>
      <c r="U143" s="105"/>
      <c r="V143" s="123" t="s">
        <v>7</v>
      </c>
      <c r="W143" s="123" t="s">
        <v>9</v>
      </c>
      <c r="X143" s="123" t="s">
        <v>187</v>
      </c>
      <c r="Y143" s="123" t="s">
        <v>188</v>
      </c>
      <c r="Z143" s="126" t="str">
        <f>IF(NOT(ISBLANK(HostBuild[[#This Row],[Product 
(Acronym)]])),CONCATENATE(HostBuild[[#This Row],[Type]],"-",HostBuild[[#This Row],[Product 
(Acronym)]]),"")</f>
        <v>WW-CBOL</v>
      </c>
      <c r="AA143" s="106"/>
      <c r="AB143" s="106" t="s">
        <v>76</v>
      </c>
      <c r="AC143" s="41"/>
      <c r="AD143" s="42"/>
      <c r="AE143" s="42"/>
      <c r="AF143" s="43"/>
      <c r="AG143" s="124"/>
      <c r="AH143" s="107"/>
      <c r="AI143" s="124" t="s">
        <v>211</v>
      </c>
      <c r="AJ143" s="123">
        <f>IF(COUNTIF(HostBuild[Alias],HostBuild[Alias]),1/COUNTIF(HostBuild[Alias],HostBuild[Alias]),0)</f>
        <v>1</v>
      </c>
      <c r="AK143" s="124"/>
      <c r="AL143" s="124"/>
      <c r="AM143" s="44" t="s">
        <v>62</v>
      </c>
      <c r="AN143" s="45" t="str">
        <f>IF(NOT(ISBLANK(HostBuild[Server Model])),VLOOKUP(HostBuild[Server Model],[1]!ServerModelsTier[#Data],2,FALSE),"")</f>
        <v>x86 Tier 3</v>
      </c>
      <c r="AO143" s="45" t="str">
        <f>IF(NOT(ISBLANK(HostBuild[Server Model])),VLOOKUP(HostBuild[Server Model],[1]!ServerModelsTier[#Data],5,FALSE),"")</f>
        <v>x86</v>
      </c>
      <c r="AP143" s="44"/>
      <c r="AQ143" s="44" t="s">
        <v>63</v>
      </c>
      <c r="AR143" s="46">
        <v>2</v>
      </c>
      <c r="AS143" s="108"/>
      <c r="AT143" s="47">
        <v>16</v>
      </c>
      <c r="AU143" s="109" t="str">
        <f>IF(IFERROR(FIND("P-Series",HostBuild[Server Tier]),0),CEILING((HostBuild[Existing CPUs]+HostBuild[CPU])*16,8),"")</f>
        <v/>
      </c>
      <c r="AV143" s="48">
        <v>128</v>
      </c>
      <c r="AW143" s="124"/>
      <c r="AX143" s="124"/>
      <c r="AY143" s="124"/>
      <c r="AZ143" s="49"/>
      <c r="BA143" s="124"/>
      <c r="BB143" s="124"/>
      <c r="BC143" s="42"/>
      <c r="BD143" s="124"/>
      <c r="BE143" s="124"/>
      <c r="BF143" s="124"/>
      <c r="BG143" s="124"/>
      <c r="BH143" s="124"/>
      <c r="BI143" s="124"/>
      <c r="BJ143" s="124"/>
      <c r="BK143"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43" s="127">
        <v>700</v>
      </c>
      <c r="BM143" s="129">
        <f>IF(ISNUMBER(HostBuild[Recommended SAN (GB)]),HostBuild[Recommended SAN (GB)])+IF(HostBuild[Additional SAN (GB)]&gt;0,CEILING(HostBuild[Additional SAN (GB)],LUN),-(CEILING(-HostBuild[Additional SAN (GB)],LUN)))</f>
        <v>909.90000000000009</v>
      </c>
      <c r="BN143" s="128"/>
      <c r="BO143" s="129">
        <f>HostBuild[SAN (GB)
NEEDED TODAY]+CEILING(HostBuild[SAN (GB)
RESERVED
DO NOT USE TO BUILD], LUN)</f>
        <v>909.90000000000009</v>
      </c>
      <c r="BP143" s="130"/>
      <c r="BQ143" s="131"/>
      <c r="BR143" s="125" t="s">
        <v>76</v>
      </c>
      <c r="BS143" s="110">
        <f>IF(HostBuild[Existing Server?]&lt;&gt;"Yes - Inside this BoM",IF(ISNUMBER(HostBuild[RAM 
(GB)]),IF(HostBuild[Existing RAM (GB)]+HostBuild[RAM 
(GB)]&gt;0,IF(HostBuild[Virtual Platform Storage Type]="NAS",110+HostBuild[Existing RAM (GB)]+HostBuild[RAM 
(GB)]*1.75,0),0),0),0)</f>
        <v>0</v>
      </c>
      <c r="BT143" s="111"/>
      <c r="BU143" s="112">
        <f>IF(ISNUMBER(HostBuild[Recommended NAS (GB)]),HostBuild[Recommended NAS (GB)])+HostBuild[Additional NAS (GB)]</f>
        <v>0</v>
      </c>
      <c r="BV143" s="50"/>
      <c r="BW143" s="50"/>
      <c r="BX143" s="133">
        <f>IFERROR((HostBuild[SAN (GB)
End-State
DO NOT USE TO BUILD]+HostBuild[SAN (GB) Shared])*25%,"")</f>
        <v>227.47500000000002</v>
      </c>
      <c r="BY143" s="113">
        <f>IFERROR(HostBuild[Archive
Full (GB)]*15%,"")</f>
        <v>34.121250000000003</v>
      </c>
      <c r="BZ143" s="51"/>
      <c r="CA143" s="51"/>
      <c r="CB143" s="52"/>
      <c r="CC143" s="53"/>
      <c r="CD143" s="52"/>
      <c r="CE143" s="54"/>
      <c r="CF143" s="128"/>
      <c r="CG143" s="114"/>
      <c r="CH143" s="55"/>
      <c r="CI143" s="56"/>
      <c r="CJ143" s="57"/>
      <c r="CK143" s="58"/>
      <c r="CL143" s="59">
        <f>IFERROR(IF(FIND(CL$1,$W143)&gt;0,IF(INDEX([1]!Product_Pricing_Table[#Data],MATCH(CL$1,Products,0),2)="Cores",IF(HostBuild[Use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3" s="59">
        <f>IFERROR(IF(FIND(CM$1,$W143)&gt;0,IF(INDEX([1]!Product_Pricing_Table[#Data],MATCH(CM$1,Products,0),2)="Cores",IF(HostBuild[Use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3" s="59">
        <f>IFERROR(IF(FIND(CN$1,$W143)&gt;0,IF(INDEX([1]!Product_Pricing_Table[#Data],MATCH(CN$1,Products,0),2)="Cores",IF(HostBuild[Use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3" s="59">
        <f>IFERROR(IF(FIND(CO$1,$W143)&gt;0,IF(INDEX([1]!Product_Pricing_Table[#Data],MATCH(CO$1,Products,0),2)="Cores",IF(HostBuild[Use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3" s="59">
        <f>IFERROR(IF(FIND(CP$1,$W143)&gt;0,IF(INDEX([1]!Product_Pricing_Table[#Data],MATCH(CP$1,Products,0),2)="Cores",IF(HostBuild[Use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3" s="59">
        <f>IFERROR(IF(FIND(CQ$1,$W143)&gt;0,IF(INDEX([1]!Product_Pricing_Table[#Data],MATCH(CQ$1,Products,0),2)="Cores",IF(HostBuild[Use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3" s="59">
        <f>IFERROR(IF(FIND(CR$1,$W143)&gt;0,IF(INDEX([1]!Product_Pricing_Table[#Data],MATCH(CR$1,Products,0),2)="Cores",IF(HostBuild[Use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3" s="59">
        <f>IFERROR(IF(FIND(CS$1,$W143)&gt;0,IF(INDEX([1]!Product_Pricing_Table[#Data],MATCH(CS$1,Products,0),2)="Cores",IF(HostBuild[Use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3" s="59">
        <f>IFERROR(IF(FIND(CT$1,$W143)&gt;0,IF(INDEX([1]!Product_Pricing_Table[#Data],MATCH(CT$1,Products,0),2)="Cores",IF(HostBuild[Use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3" s="59">
        <f>IFERROR(IF(FIND(CU$1,$W143)&gt;0,IF(INDEX([1]!Product_Pricing_Table[#Data],MATCH(CU$1,Products,0),2)="Cores",IF(HostBuild[Use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3" s="59">
        <f>IFERROR(IF(FIND(CV$1,$W143)&gt;0,IF(INDEX([1]!Product_Pricing_Table[#Data],MATCH(CV$1,Products,0),2)="Cores",IF(HostBuild[Use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3" s="59">
        <f>IFERROR(IF(FIND(CW$1,$W143)&gt;0,IF(INDEX([1]!Product_Pricing_Table[#Data],MATCH(CW$1,Products,0),2)="Cores",IF(HostBuild[Use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3" s="59">
        <f>IFERROR(IF(FIND(CX$1,$W143)&gt;0,IF(INDEX([1]!Product_Pricing_Table[#Data],MATCH(CX$1,Products,0),2)="Cores",IF(HostBuild[Use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3" s="59">
        <f>IFERROR(IF(FIND(CY$1,$W143)&gt;0,IF(INDEX([1]!Product_Pricing_Table[#Data],MATCH(CY$1,Products,0),2)="Cores",IF(HostBuild[Use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3" s="59">
        <f>IFERROR(IF(FIND(CZ$1,$W143)&gt;0,IF(INDEX([1]!Product_Pricing_Table[#Data],MATCH(CZ$1,Products,0),2)="Cores",IF(HostBuild[Use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3" s="59">
        <f>IFERROR(IF(FIND(DA$1,$W143)&gt;0,IF(INDEX([1]!Product_Pricing_Table[#Data],MATCH(DA$1,Products,0),2)="Cores",IF(HostBuild[Use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3" s="59">
        <f>IFERROR(IF(FIND(DB$1,$W143)&gt;0,IF(INDEX([1]!Product_Pricing_Table[#Data],MATCH(DB$1,Products,0),2)="Cores",IF(HostBuild[Use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3" s="59">
        <f>IFERROR(IF(FIND(DC$1,$W143)&gt;0,IF(INDEX([1]!Product_Pricing_Table[#Data],MATCH(DC$1,Products,0),2)="Cores",IF(HostBuild[Use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3" s="59">
        <f>IFERROR(IF(FIND(DD$1,$W143)&gt;0,IF(INDEX([1]!Product_Pricing_Table[#Data],MATCH(DD$1,Products,0),2)="Cores",IF(HostBuild[Use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3" s="59">
        <f>IFERROR(IF(FIND(DE$1,$W143)&gt;0,IF(INDEX([1]!Product_Pricing_Table[#Data],MATCH(DE$1,Products,0),2)="Cores",IF(HostBuild[Use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3" s="60">
        <f>IFERROR(IF(FIND(DF$1,$W143)&gt;0,IF(INDEX([1]!Product_Pricing_Table[#Data],MATCH(DF$1,Products,0),2)="Cores",IF(HostBuild[Use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3" s="60">
        <f>IFERROR(IF(FIND(DG$1,$W143)&gt;0,IF(INDEX([1]!Product_Pricing_Table[#Data],MATCH(DG$1,Products,0),2)="Cores",IF(HostBuild[Use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3" s="59">
        <f>IFERROR(IF(FIND(DH$1,$W143)&gt;0,IF(INDEX([1]!Product_Pricing_Table[#Data],MATCH(DH$1,Products,0),2)="Cores",IF(HostBuild[Use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3" s="60">
        <f>IFERROR(IF(FIND(DI$1,$W143)&gt;0,IF(INDEX([1]!Product_Pricing_Table[#Data],MATCH(DI$1,Products,0),2)="Cores",IF(HostBuild[Use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3" s="59">
        <f>IFERROR(IF(FIND(DJ$1,$W143)&gt;0,IF(INDEX([1]!Product_Pricing_Table[#Data],MATCH(DJ$1,Products,0),2)="Cores",IF(HostBuild[Use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3" s="59">
        <f>IFERROR(IF(FIND(DK$1,$W143)&gt;0,IF(INDEX([1]!Product_Pricing_Table[#Data],MATCH(DK$1,Products,0),2)="Cores",IF(HostBuild[Use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3" s="59">
        <f>IFERROR(IF(FIND(DL$1,$W143)&gt;0,IF(INDEX([1]!Product_Pricing_Table[#Data],MATCH(DL$1,Products,0),2)="Cores",IF(HostBuild[Use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3" s="59">
        <f>IFERROR(IF(FIND(DM$1,$W143)&gt;0,IF(INDEX([1]!Product_Pricing_Table[#Data],MATCH(DM$1,Products,0),2)="Cores",IF(HostBuild[Use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3" s="59">
        <f>IFERROR(IF(FIND(DN$1,$W143)&gt;0,IF(INDEX([1]!Product_Pricing_Table[#Data],MATCH(DN$1,Products,0),2)="Cores",IF(HostBuild[Use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3" s="59">
        <f>IFERROR(IF(FIND(DO$1,$W143)&gt;0,IF(INDEX([1]!Product_Pricing_Table[#Data],MATCH(DO$1,Products,0),2)="Cores",IF(HostBuild[Use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3" s="59">
        <f>IFERROR(IF(FIND(DP$1,$W143)&gt;0,IF(INDEX([1]!Product_Pricing_Table[#Data],MATCH(DP$1,Products,0),2)="Cores",IF(HostBuild[Use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3" s="59">
        <f>IFERROR(IF(FIND(DQ$1,$W143)&gt;0,IF(INDEX([1]!Product_Pricing_Table[#Data],MATCH(DQ$1,Products,0),2)="Cores",IF(HostBuild[Use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3" s="59">
        <f>IFERROR(IF(FIND(DR$1,$W143)&gt;0,IF(INDEX([1]!Product_Pricing_Table[#Data],MATCH(DR$1,Products,0),2)="Cores",IF(HostBuild[Use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3" s="59">
        <f>IFERROR(IF(FIND(DS$1,$W143)&gt;0,IF(INDEX([1]!Product_Pricing_Table[#Data],MATCH(DS$1,Products,0),2)="Cores",IF(HostBuild[Use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3" s="59">
        <f>IFERROR(IF(FIND(DT$1,$W143)&gt;0,IF(INDEX([1]!Product_Pricing_Table[#Data],MATCH(DT$1,Products,0),2)="Cores",IF(HostBuild[Use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3" s="59">
        <f>IFERROR(IF(FIND(DU$1,$W143)&gt;0,IF(INDEX([1]!Product_Pricing_Table[#Data],MATCH(DU$1,Products,0),2)="Cores",IF(HostBuild[Use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3" s="59">
        <f>IFERROR(IF(FIND(DV$1,$W143)&gt;0,IF(INDEX([1]!Product_Pricing_Table[#Data],MATCH(DV$1,Products,0),2)="Cores",IF(HostBuild[Use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3" s="59">
        <f>IFERROR(IF(FIND(DW$1,$W143)&gt;0,IF(INDEX([1]!Product_Pricing_Table[#Data],MATCH(DW$1,Products,0),2)="Cores",IF(HostBuild[Use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3" s="59">
        <f>IFERROR(IF(FIND(DX$1,$W143)&gt;0,IF(INDEX([1]!Product_Pricing_Table[#Data],MATCH(DX$1,Products,0),2)="Cores",IF(HostBuild[Use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3" s="59">
        <f>IFERROR(IF(FIND(DY$1,$W143)&gt;0,IF(INDEX([1]!Product_Pricing_Table[#Data],MATCH(DY$1,Products,0),2)="Cores",IF(HostBuild[Use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3" s="59">
        <f>IFERROR(IF(FIND(DZ$1,$W143)&gt;0,IF(INDEX([1]!Product_Pricing_Table[#Data],MATCH(DZ$1,Products,0),2)="Cores",IF(HostBuild[Use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3" s="59">
        <f>IFERROR(IF(FIND(EA$1,$W143)&gt;0,IF(INDEX([1]!Product_Pricing_Table[#Data],MATCH(EA$1,Products,0),2)="Cores",IF(HostBuild[Use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3" s="59">
        <f>IFERROR(IF(FIND(EB$1,$W143)&gt;0,IF(INDEX([1]!Product_Pricing_Table[#Data],MATCH(EB$1,Products,0),2)="Cores",IF(HostBuild[Use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3" s="60">
        <f>IFERROR(IF(FIND(EC$1,$W143)&gt;0,IF(INDEX([1]!Product_Pricing_Table[#Data],MATCH(EC$1,Products,0),2)="Cores",IF(HostBuild[Use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3" s="59">
        <f>IFERROR(IF(FIND(ED$1,$W143)&gt;0,IF(INDEX([1]!Product_Pricing_Table[#Data],MATCH(ED$1,Products,0),2)="Cores",IF(HostBuild[Use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3" s="59">
        <f>IFERROR(IF(FIND(EE$1,$W143)&gt;0,IF(INDEX([1]!Product_Pricing_Table[#Data],MATCH(EE$1,Products,0),2)="Cores",IF(HostBuild[Use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3" s="59">
        <f>IFERROR(IF(FIND(EF$1,$W143)&gt;0,IF(INDEX([1]!Product_Pricing_Table[#Data],MATCH(EF$1,Products,0),2)="Cores",IF(HostBuild[Use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3" s="59">
        <f>IFERROR(IF(FIND(EG$1,$W143)&gt;0,IF(INDEX([1]!Product_Pricing_Table[#Data],MATCH(EG$1,Products,0),2)="Cores",IF(HostBuild[Use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3" s="59">
        <f>IFERROR(IF(FIND(EH$1,$W143)&gt;0,IF(INDEX([1]!Product_Pricing_Table[#Data],MATCH(EH$1,Products,0),2)="Cores",IF(HostBuild[Use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3" s="59">
        <f>IFERROR(IF(FIND(EI$1,$W143)&gt;0,IF(INDEX([1]!Product_Pricing_Table[#Data],MATCH(EI$1,Products,0),2)="Cores",IF(HostBuild[Use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3" s="59">
        <f>IFERROR(IF(FIND(EJ$1,$W143)&gt;0,IF(INDEX([1]!Product_Pricing_Table[#Data],MATCH(EJ$1,Products,0),2)="Cores",IF(HostBuild[Use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3" s="60">
        <f>IFERROR(IF(FIND(EK$1,$W143)&gt;0,IF(INDEX([1]!Product_Pricing_Table[#Data],MATCH(EK$1,Products,0),2)="Cores",IF(HostBuild[Use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3" s="61"/>
      <c r="EM143" s="62">
        <v>0</v>
      </c>
      <c r="EN143" s="63">
        <v>0</v>
      </c>
      <c r="EO143"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4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409.45500000000004</v>
      </c>
      <c r="EQ143" s="132">
        <f>(HostBuild[Archive
Full (GB)]+HostBuild[Archive
Incr (GB)])*Storage_DC_Dist_Tape_2014</f>
        <v>91.558687500000019</v>
      </c>
      <c r="ER143" s="132">
        <f>IF(ISNUMBER(HostBuild[Server HW Costs
(Monthly)]),SUM(HostBuild[[#This Row],[Server HW Costs
(Monthly)]:[Tape Costs
(Monthly)]]),0)</f>
        <v>1389.7136875000001</v>
      </c>
      <c r="ES143" s="65">
        <f>HostBuild[Software Costs
'[Year 1']
(Monthly)]+HostBuild[Total Hardware Costs
(Monthly)]</f>
        <v>1389.7136875000001</v>
      </c>
      <c r="ET143" s="65">
        <f>IFERROR(IF(FIND("Safenet",HostBuild[Server Model]),Safenet_PSE_PL600_Maint,0),0)+IFERROR(IF(FIND("XI52",HostBuild[Server Model]),IBM_DIA_XI52_Maint,0),0)+HostBuild[Software Costs
'[After Year 1']
(Monthly)]+HostBuild[Total Hardware Costs
(Monthly)]</f>
        <v>1389.7136875000001</v>
      </c>
      <c r="EU143" s="66">
        <f>SUM(HostBuild[[#This Row],[Server Cost Breakdown]:[Network Cost]])</f>
        <v>888.7</v>
      </c>
      <c r="EV143" s="67">
        <f>IF(HostBuild[Existing Server?]="Yes - Inside this BoM",0,SUMIF(HostBuild[Alias],HostBuild[Alias],HostBuild[CPU])+SUMIF(HostBuild[Alias],HostBuild[Alias],HostBuild[Existing CPUs]))</f>
        <v>2</v>
      </c>
      <c r="EW143" s="67">
        <f>IF(HostBuild[Existing Server?]="Yes - Inside this BoM",0,SUMIF(HostBuild[Alias],HostBuild[Alias],HostBuild[Cores 
(Licensed Units)])+SUMIF(HostBuild[Alias],HostBuild[Alias],HostBuild[Existing Cores]))</f>
        <v>16</v>
      </c>
      <c r="EX143" s="67">
        <f>IF(HostBuild[Existing Server?]="Yes - Inside this BoM",0,SUMIF(HostBuild[Alias],HostBuild[Alias],HostBuild[RAM 
(GB)])+SUMIF(HostBuild[Alias],HostBuild[Alias],HostBuild[Existing RAM (GB)]))</f>
        <v>128</v>
      </c>
      <c r="EY14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3" s="66">
        <f>IF(ISBLANK(HostBuild[Server Model]),0,IF(HostBuild[Server Tier]="VMware",0,VLOOKUP(HostBuild[Server Tier],[1]!ServerTierRates[#Data],2,0))*HostBuild[CPU]*IF(AND(HostBuild[Server Type]="pSeries",HostBuild[Virtual Platform Storage Type]="Cloud-SAN"),0.25,1))</f>
        <v>608</v>
      </c>
      <c r="FD143" s="66">
        <f>0</f>
        <v>0</v>
      </c>
      <c r="FE143" s="66">
        <f>IF(HostBuild[Server Type]="VMware",HostBuild[RAM 
(GB)]*IF(ISERROR(FIND("DevCloud", HostBuild[Server Model])&gt;0),vRAM_per_vCPU_2014_Monthly,vRAM_per_vCPU_2014_Daily*30),0)</f>
        <v>0</v>
      </c>
      <c r="FF14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4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3" s="69">
        <f>IF(HostBuild[Server Tier]="VMware",0,IF(LEFT(HostBuild[Existing Server?],3)="Yes",0,IF(OR(HostBuild[Server Type]="Sun",HostBuild[Server Type]="pSeries"),Support_Direct_Server_Sun_per_OS_2014,IF(HostBuild[Server Type]="x86",Support_Direct_Server_x86_Wintel_per_OS_2014,0))))</f>
        <v>187.1</v>
      </c>
      <c r="FI14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4" spans="1:165">
      <c r="A144" s="122" t="s">
        <v>53</v>
      </c>
      <c r="B144" s="36"/>
      <c r="C144" s="36"/>
      <c r="D144" s="36"/>
      <c r="E144" s="37"/>
      <c r="F144" s="37"/>
      <c r="G144" s="103"/>
      <c r="H144" s="103"/>
      <c r="I144" s="38"/>
      <c r="J144" s="37"/>
      <c r="K144" s="37"/>
      <c r="L144" s="37"/>
      <c r="M144" s="103" t="e">
        <f ca="1">IF(rngIsDate(HostBuild[CTO Acceptance]),"Y","N")</f>
        <v>#NAME?</v>
      </c>
      <c r="N144" s="123" t="s">
        <v>181</v>
      </c>
      <c r="O144" s="39"/>
      <c r="P144" s="39"/>
      <c r="Q144" s="123" t="s">
        <v>50</v>
      </c>
      <c r="R144" s="126" t="str">
        <f>IF(NOT(ISBLANK(HostBuild[Env Label])),IFERROR(VLOOKUP(HostBuild[Env Label],[1]!tEnv[#Data],3,FALSE),""),"")</f>
        <v/>
      </c>
      <c r="S144" s="104"/>
      <c r="T144" s="40"/>
      <c r="U144" s="105"/>
      <c r="V144" s="123" t="s">
        <v>45</v>
      </c>
      <c r="W144" s="123" t="s">
        <v>190</v>
      </c>
      <c r="X144" s="123" t="s">
        <v>57</v>
      </c>
      <c r="Y144" s="123" t="s">
        <v>188</v>
      </c>
      <c r="Z144" s="126" t="str">
        <f>IF(NOT(ISBLANK(HostBuild[[#This Row],[Product 
(Acronym)]])),CONCATENATE(HostBuild[[#This Row],[Type]],"-",HostBuild[[#This Row],[Product 
(Acronym)]]),"")</f>
        <v>AP-CBOL</v>
      </c>
      <c r="AA144" s="106"/>
      <c r="AB144" s="106" t="s">
        <v>76</v>
      </c>
      <c r="AC144" s="41"/>
      <c r="AD144" s="42"/>
      <c r="AE144" s="42"/>
      <c r="AF144" s="43"/>
      <c r="AG144" s="124"/>
      <c r="AH144" s="107"/>
      <c r="AI144" s="124" t="s">
        <v>212</v>
      </c>
      <c r="AJ144" s="123">
        <f>IF(COUNTIF(HostBuild[Alias],HostBuild[Alias]),1/COUNTIF(HostBuild[Alias],HostBuild[Alias]),0)</f>
        <v>1</v>
      </c>
      <c r="AK144" s="124"/>
      <c r="AL144" s="124"/>
      <c r="AM144" s="44" t="s">
        <v>62</v>
      </c>
      <c r="AN144" s="45" t="str">
        <f>IF(NOT(ISBLANK(HostBuild[Server Model])),VLOOKUP(HostBuild[Server Model],[1]!ServerModelsTier[#Data],2,FALSE),"")</f>
        <v>x86 Tier 3</v>
      </c>
      <c r="AO144" s="45" t="str">
        <f>IF(NOT(ISBLANK(HostBuild[Server Model])),VLOOKUP(HostBuild[Server Model],[1]!ServerModelsTier[#Data],5,FALSE),"")</f>
        <v>x86</v>
      </c>
      <c r="AP144" s="44"/>
      <c r="AQ144" s="44" t="s">
        <v>63</v>
      </c>
      <c r="AR144" s="46">
        <v>2</v>
      </c>
      <c r="AS144" s="108"/>
      <c r="AT144" s="47">
        <v>16</v>
      </c>
      <c r="AU144" s="109" t="str">
        <f>IF(IFERROR(FIND("P-Series",HostBuild[Server Tier]),0),CEILING((HostBuild[Existing CPUs]+HostBuild[CPU])*16,8),"")</f>
        <v/>
      </c>
      <c r="AV144" s="48">
        <v>128</v>
      </c>
      <c r="AW144" s="124"/>
      <c r="AX144" s="124"/>
      <c r="AY144" s="124"/>
      <c r="AZ144" s="49"/>
      <c r="BA144" s="124"/>
      <c r="BB144" s="124"/>
      <c r="BC144" s="42"/>
      <c r="BD144" s="124"/>
      <c r="BE144" s="124"/>
      <c r="BF144" s="124"/>
      <c r="BG144" s="124"/>
      <c r="BH144" s="124"/>
      <c r="BI144" s="124"/>
      <c r="BJ144" s="124"/>
      <c r="BK144"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44" s="127">
        <v>600</v>
      </c>
      <c r="BM144" s="129">
        <f>IF(ISNUMBER(HostBuild[Recommended SAN (GB)]),HostBuild[Recommended SAN (GB)])+IF(HostBuild[Additional SAN (GB)]&gt;0,CEILING(HostBuild[Additional SAN (GB)],LUN),-(CEILING(-HostBuild[Additional SAN (GB)],LUN)))</f>
        <v>808.80000000000007</v>
      </c>
      <c r="BN144" s="128"/>
      <c r="BO144" s="129">
        <f>HostBuild[SAN (GB)
NEEDED TODAY]+CEILING(HostBuild[SAN (GB)
RESERVED
DO NOT USE TO BUILD], LUN)</f>
        <v>808.80000000000007</v>
      </c>
      <c r="BP144" s="130"/>
      <c r="BQ144" s="131"/>
      <c r="BR144" s="125" t="s">
        <v>76</v>
      </c>
      <c r="BS144" s="110">
        <f>IF(HostBuild[Existing Server?]&lt;&gt;"Yes - Inside this BoM",IF(ISNUMBER(HostBuild[RAM 
(GB)]),IF(HostBuild[Existing RAM (GB)]+HostBuild[RAM 
(GB)]&gt;0,IF(HostBuild[Virtual Platform Storage Type]="NAS",110+HostBuild[Existing RAM (GB)]+HostBuild[RAM 
(GB)]*1.75,0),0),0),0)</f>
        <v>0</v>
      </c>
      <c r="BT144" s="111"/>
      <c r="BU144" s="112">
        <f>IF(ISNUMBER(HostBuild[Recommended NAS (GB)]),HostBuild[Recommended NAS (GB)])+HostBuild[Additional NAS (GB)]</f>
        <v>0</v>
      </c>
      <c r="BV144" s="50"/>
      <c r="BW144" s="50"/>
      <c r="BX144" s="133">
        <f>IFERROR((HostBuild[SAN (GB)
End-State
DO NOT USE TO BUILD]+HostBuild[SAN (GB) Shared])*25%,"")</f>
        <v>202.20000000000002</v>
      </c>
      <c r="BY144" s="113">
        <f>IFERROR(HostBuild[Archive
Full (GB)]*15%,"")</f>
        <v>30.330000000000002</v>
      </c>
      <c r="BZ144" s="51"/>
      <c r="CA144" s="51"/>
      <c r="CB144" s="52"/>
      <c r="CC144" s="53"/>
      <c r="CD144" s="52"/>
      <c r="CE144" s="54"/>
      <c r="CF144" s="128"/>
      <c r="CG144" s="114"/>
      <c r="CH144" s="55"/>
      <c r="CI144" s="56"/>
      <c r="CJ144" s="57"/>
      <c r="CK144" s="58"/>
      <c r="CL144" s="59">
        <f>IFERROR(IF(FIND(CL$1,$W144)&gt;0,IF(INDEX([1]!Product_Pricing_Table[#Data],MATCH(CL$1,Products,0),2)="Cores",IF(HostBuild[Use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4" s="59">
        <f>IFERROR(IF(FIND(CM$1,$W144)&gt;0,IF(INDEX([1]!Product_Pricing_Table[#Data],MATCH(CM$1,Products,0),2)="Cores",IF(HostBuild[Use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4" s="59">
        <f>IFERROR(IF(FIND(CN$1,$W144)&gt;0,IF(INDEX([1]!Product_Pricing_Table[#Data],MATCH(CN$1,Products,0),2)="Cores",IF(HostBuild[Use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4" s="59">
        <f>IFERROR(IF(FIND(CO$1,$W144)&gt;0,IF(INDEX([1]!Product_Pricing_Table[#Data],MATCH(CO$1,Products,0),2)="Cores",IF(HostBuild[Use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4" s="59">
        <f>IFERROR(IF(FIND(CP$1,$W144)&gt;0,IF(INDEX([1]!Product_Pricing_Table[#Data],MATCH(CP$1,Products,0),2)="Cores",IF(HostBuild[Use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4" s="59">
        <f>IFERROR(IF(FIND(CQ$1,$W144)&gt;0,IF(INDEX([1]!Product_Pricing_Table[#Data],MATCH(CQ$1,Products,0),2)="Cores",IF(HostBuild[Use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4" s="59">
        <f>IFERROR(IF(FIND(CR$1,$W144)&gt;0,IF(INDEX([1]!Product_Pricing_Table[#Data],MATCH(CR$1,Products,0),2)="Cores",IF(HostBuild[Use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4" s="59">
        <f>IFERROR(IF(FIND(CS$1,$W144)&gt;0,IF(INDEX([1]!Product_Pricing_Table[#Data],MATCH(CS$1,Products,0),2)="Cores",IF(HostBuild[Use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4" s="59">
        <f>IFERROR(IF(FIND(CT$1,$W144)&gt;0,IF(INDEX([1]!Product_Pricing_Table[#Data],MATCH(CT$1,Products,0),2)="Cores",IF(HostBuild[Use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4" s="59">
        <f>IFERROR(IF(FIND(CU$1,$W144)&gt;0,IF(INDEX([1]!Product_Pricing_Table[#Data],MATCH(CU$1,Products,0),2)="Cores",IF(HostBuild[Use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4" s="59">
        <f>IFERROR(IF(FIND(CV$1,$W144)&gt;0,IF(INDEX([1]!Product_Pricing_Table[#Data],MATCH(CV$1,Products,0),2)="Cores",IF(HostBuild[Use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4" s="59">
        <f>IFERROR(IF(FIND(CW$1,$W144)&gt;0,IF(INDEX([1]!Product_Pricing_Table[#Data],MATCH(CW$1,Products,0),2)="Cores",IF(HostBuild[Use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4" s="59">
        <f>IFERROR(IF(FIND(CX$1,$W144)&gt;0,IF(INDEX([1]!Product_Pricing_Table[#Data],MATCH(CX$1,Products,0),2)="Cores",IF(HostBuild[Use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4" s="59">
        <f>IFERROR(IF(FIND(CY$1,$W144)&gt;0,IF(INDEX([1]!Product_Pricing_Table[#Data],MATCH(CY$1,Products,0),2)="Cores",IF(HostBuild[Use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4" s="59">
        <f>IFERROR(IF(FIND(CZ$1,$W144)&gt;0,IF(INDEX([1]!Product_Pricing_Table[#Data],MATCH(CZ$1,Products,0),2)="Cores",IF(HostBuild[Use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4" s="59">
        <f>IFERROR(IF(FIND(DA$1,$W144)&gt;0,IF(INDEX([1]!Product_Pricing_Table[#Data],MATCH(DA$1,Products,0),2)="Cores",IF(HostBuild[Use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4" s="59">
        <f>IFERROR(IF(FIND(DB$1,$W144)&gt;0,IF(INDEX([1]!Product_Pricing_Table[#Data],MATCH(DB$1,Products,0),2)="Cores",IF(HostBuild[Use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4" s="59">
        <f>IFERROR(IF(FIND(DC$1,$W144)&gt;0,IF(INDEX([1]!Product_Pricing_Table[#Data],MATCH(DC$1,Products,0),2)="Cores",IF(HostBuild[Use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4" s="59">
        <f>IFERROR(IF(FIND(DD$1,$W144)&gt;0,IF(INDEX([1]!Product_Pricing_Table[#Data],MATCH(DD$1,Products,0),2)="Cores",IF(HostBuild[Use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4" s="59">
        <f>IFERROR(IF(FIND(DE$1,$W144)&gt;0,IF(INDEX([1]!Product_Pricing_Table[#Data],MATCH(DE$1,Products,0),2)="Cores",IF(HostBuild[Use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4" s="60">
        <f>IFERROR(IF(FIND(DF$1,$W144)&gt;0,IF(INDEX([1]!Product_Pricing_Table[#Data],MATCH(DF$1,Products,0),2)="Cores",IF(HostBuild[Use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4" s="60">
        <f>IFERROR(IF(FIND(DG$1,$W144)&gt;0,IF(INDEX([1]!Product_Pricing_Table[#Data],MATCH(DG$1,Products,0),2)="Cores",IF(HostBuild[Use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4" s="59">
        <f>IFERROR(IF(FIND(DH$1,$W144)&gt;0,IF(INDEX([1]!Product_Pricing_Table[#Data],MATCH(DH$1,Products,0),2)="Cores",IF(HostBuild[Use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4" s="60">
        <f>IFERROR(IF(FIND(DI$1,$W144)&gt;0,IF(INDEX([1]!Product_Pricing_Table[#Data],MATCH(DI$1,Products,0),2)="Cores",IF(HostBuild[Use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4" s="59">
        <f>IFERROR(IF(FIND(DJ$1,$W144)&gt;0,IF(INDEX([1]!Product_Pricing_Table[#Data],MATCH(DJ$1,Products,0),2)="Cores",IF(HostBuild[Use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4" s="59">
        <f>IFERROR(IF(FIND(DK$1,$W144)&gt;0,IF(INDEX([1]!Product_Pricing_Table[#Data],MATCH(DK$1,Products,0),2)="Cores",IF(HostBuild[Use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4" s="59">
        <f>IFERROR(IF(FIND(DL$1,$W144)&gt;0,IF(INDEX([1]!Product_Pricing_Table[#Data],MATCH(DL$1,Products,0),2)="Cores",IF(HostBuild[Use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4" s="59">
        <f>IFERROR(IF(FIND(DM$1,$W144)&gt;0,IF(INDEX([1]!Product_Pricing_Table[#Data],MATCH(DM$1,Products,0),2)="Cores",IF(HostBuild[Use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4" s="59">
        <f>IFERROR(IF(FIND(DN$1,$W144)&gt;0,IF(INDEX([1]!Product_Pricing_Table[#Data],MATCH(DN$1,Products,0),2)="Cores",IF(HostBuild[Use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4" s="59">
        <f>IFERROR(IF(FIND(DO$1,$W144)&gt;0,IF(INDEX([1]!Product_Pricing_Table[#Data],MATCH(DO$1,Products,0),2)="Cores",IF(HostBuild[Use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4" s="59">
        <f>IFERROR(IF(FIND(DP$1,$W144)&gt;0,IF(INDEX([1]!Product_Pricing_Table[#Data],MATCH(DP$1,Products,0),2)="Cores",IF(HostBuild[Use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4" s="59">
        <f>IFERROR(IF(FIND(DQ$1,$W144)&gt;0,IF(INDEX([1]!Product_Pricing_Table[#Data],MATCH(DQ$1,Products,0),2)="Cores",IF(HostBuild[Use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4" s="59">
        <f>IFERROR(IF(FIND(DR$1,$W144)&gt;0,IF(INDEX([1]!Product_Pricing_Table[#Data],MATCH(DR$1,Products,0),2)="Cores",IF(HostBuild[Use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4" s="59">
        <f>IFERROR(IF(FIND(DS$1,$W144)&gt;0,IF(INDEX([1]!Product_Pricing_Table[#Data],MATCH(DS$1,Products,0),2)="Cores",IF(HostBuild[Use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4" s="59">
        <f>IFERROR(IF(FIND(DT$1,$W144)&gt;0,IF(INDEX([1]!Product_Pricing_Table[#Data],MATCH(DT$1,Products,0),2)="Cores",IF(HostBuild[Use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4" s="59">
        <f>IFERROR(IF(FIND(DU$1,$W144)&gt;0,IF(INDEX([1]!Product_Pricing_Table[#Data],MATCH(DU$1,Products,0),2)="Cores",IF(HostBuild[Use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4" s="59">
        <f>IFERROR(IF(FIND(DV$1,$W144)&gt;0,IF(INDEX([1]!Product_Pricing_Table[#Data],MATCH(DV$1,Products,0),2)="Cores",IF(HostBuild[Use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4" s="59">
        <f>IFERROR(IF(FIND(DW$1,$W144)&gt;0,IF(INDEX([1]!Product_Pricing_Table[#Data],MATCH(DW$1,Products,0),2)="Cores",IF(HostBuild[Use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4" s="59">
        <f>IFERROR(IF(FIND(DX$1,$W144)&gt;0,IF(INDEX([1]!Product_Pricing_Table[#Data],MATCH(DX$1,Products,0),2)="Cores",IF(HostBuild[Use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4" s="59">
        <f>IFERROR(IF(FIND(DY$1,$W144)&gt;0,IF(INDEX([1]!Product_Pricing_Table[#Data],MATCH(DY$1,Products,0),2)="Cores",IF(HostBuild[Use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4" s="59">
        <f>IFERROR(IF(FIND(DZ$1,$W144)&gt;0,IF(INDEX([1]!Product_Pricing_Table[#Data],MATCH(DZ$1,Products,0),2)="Cores",IF(HostBuild[Use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4" s="59">
        <f>IFERROR(IF(FIND(EA$1,$W144)&gt;0,IF(INDEX([1]!Product_Pricing_Table[#Data],MATCH(EA$1,Products,0),2)="Cores",IF(HostBuild[Use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4" s="59">
        <f>IFERROR(IF(FIND(EB$1,$W144)&gt;0,IF(INDEX([1]!Product_Pricing_Table[#Data],MATCH(EB$1,Products,0),2)="Cores",IF(HostBuild[Use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4" s="60">
        <f>IFERROR(IF(FIND(EC$1,$W144)&gt;0,IF(INDEX([1]!Product_Pricing_Table[#Data],MATCH(EC$1,Products,0),2)="Cores",IF(HostBuild[Use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4" s="59">
        <f>IFERROR(IF(FIND(ED$1,$W144)&gt;0,IF(INDEX([1]!Product_Pricing_Table[#Data],MATCH(ED$1,Products,0),2)="Cores",IF(HostBuild[Use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4" s="59">
        <f>IFERROR(IF(FIND(EE$1,$W144)&gt;0,IF(INDEX([1]!Product_Pricing_Table[#Data],MATCH(EE$1,Products,0),2)="Cores",IF(HostBuild[Use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4" s="59">
        <f>IFERROR(IF(FIND(EF$1,$W144)&gt;0,IF(INDEX([1]!Product_Pricing_Table[#Data],MATCH(EF$1,Products,0),2)="Cores",IF(HostBuild[Use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4" s="59">
        <f>IFERROR(IF(FIND(EG$1,$W144)&gt;0,IF(INDEX([1]!Product_Pricing_Table[#Data],MATCH(EG$1,Products,0),2)="Cores",IF(HostBuild[Use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4" s="59">
        <f>IFERROR(IF(FIND(EH$1,$W144)&gt;0,IF(INDEX([1]!Product_Pricing_Table[#Data],MATCH(EH$1,Products,0),2)="Cores",IF(HostBuild[Use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4" s="59">
        <f>IFERROR(IF(FIND(EI$1,$W144)&gt;0,IF(INDEX([1]!Product_Pricing_Table[#Data],MATCH(EI$1,Products,0),2)="Cores",IF(HostBuild[Use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4" s="59">
        <f>IFERROR(IF(FIND(EJ$1,$W144)&gt;0,IF(INDEX([1]!Product_Pricing_Table[#Data],MATCH(EJ$1,Products,0),2)="Cores",IF(HostBuild[Use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4" s="60">
        <f>IFERROR(IF(FIND(EK$1,$W144)&gt;0,IF(INDEX([1]!Product_Pricing_Table[#Data],MATCH(EK$1,Products,0),2)="Cores",IF(HostBuild[Use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4" s="61"/>
      <c r="EM144" s="62"/>
      <c r="EN144" s="63"/>
      <c r="EO144"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4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44" s="132">
        <f>(HostBuild[Archive
Full (GB)]+HostBuild[Archive
Incr (GB)])*Storage_DC_Dist_Tape_2014</f>
        <v>81.385500000000008</v>
      </c>
      <c r="ER144" s="132">
        <f>IF(ISNUMBER(HostBuild[Server HW Costs
(Monthly)]),SUM(HostBuild[[#This Row],[Server HW Costs
(Monthly)]:[Tape Costs
(Monthly)]]),0)</f>
        <v>1334.0455000000002</v>
      </c>
      <c r="ES144" s="65">
        <f>HostBuild[Software Costs
'[Year 1']
(Monthly)]+HostBuild[Total Hardware Costs
(Monthly)]</f>
        <v>1334.0455000000002</v>
      </c>
      <c r="ET144" s="65">
        <f>IFERROR(IF(FIND("Safenet",HostBuild[Server Model]),Safenet_PSE_PL600_Maint,0),0)+IFERROR(IF(FIND("XI52",HostBuild[Server Model]),IBM_DIA_XI52_Maint,0),0)+HostBuild[Software Costs
'[After Year 1']
(Monthly)]+HostBuild[Total Hardware Costs
(Monthly)]</f>
        <v>1334.0455000000002</v>
      </c>
      <c r="EU144" s="66">
        <f>SUM(HostBuild[[#This Row],[Server Cost Breakdown]:[Network Cost]])</f>
        <v>888.7</v>
      </c>
      <c r="EV144" s="67">
        <f>IF(HostBuild[Existing Server?]="Yes - Inside this BoM",0,SUMIF(HostBuild[Alias],HostBuild[Alias],HostBuild[CPU])+SUMIF(HostBuild[Alias],HostBuild[Alias],HostBuild[Existing CPUs]))</f>
        <v>2</v>
      </c>
      <c r="EW144" s="67">
        <f>IF(HostBuild[Existing Server?]="Yes - Inside this BoM",0,SUMIF(HostBuild[Alias],HostBuild[Alias],HostBuild[Cores 
(Licensed Units)])+SUMIF(HostBuild[Alias],HostBuild[Alias],HostBuild[Existing Cores]))</f>
        <v>16</v>
      </c>
      <c r="EX144" s="67">
        <f>IF(HostBuild[Existing Server?]="Yes - Inside this BoM",0,SUMIF(HostBuild[Alias],HostBuild[Alias],HostBuild[RAM 
(GB)])+SUMIF(HostBuild[Alias],HostBuild[Alias],HostBuild[Existing RAM (GB)]))</f>
        <v>128</v>
      </c>
      <c r="EY14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4" s="66">
        <f>IF(ISBLANK(HostBuild[Server Model]),0,IF(HostBuild[Server Tier]="VMware",0,VLOOKUP(HostBuild[Server Tier],[1]!ServerTierRates[#Data],2,0))*HostBuild[CPU]*IF(AND(HostBuild[Server Type]="pSeries",HostBuild[Virtual Platform Storage Type]="Cloud-SAN"),0.25,1))</f>
        <v>608</v>
      </c>
      <c r="FD144" s="66">
        <f>0</f>
        <v>0</v>
      </c>
      <c r="FE144" s="66">
        <f>IF(HostBuild[Server Type]="VMware",HostBuild[RAM 
(GB)]*IF(ISERROR(FIND("DevCloud", HostBuild[Server Model])&gt;0),vRAM_per_vCPU_2014_Monthly,vRAM_per_vCPU_2014_Daily*30),0)</f>
        <v>0</v>
      </c>
      <c r="FF14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4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4" s="69">
        <f>IF(HostBuild[Server Tier]="VMware",0,IF(LEFT(HostBuild[Existing Server?],3)="Yes",0,IF(OR(HostBuild[Server Type]="Sun",HostBuild[Server Type]="pSeries"),Support_Direct_Server_Sun_per_OS_2014,IF(HostBuild[Server Type]="x86",Support_Direct_Server_x86_Wintel_per_OS_2014,0))))</f>
        <v>187.1</v>
      </c>
      <c r="FI14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5" spans="1:165">
      <c r="A145" s="122" t="s">
        <v>53</v>
      </c>
      <c r="B145" s="36"/>
      <c r="C145" s="36"/>
      <c r="D145" s="36"/>
      <c r="E145" s="37"/>
      <c r="F145" s="37"/>
      <c r="G145" s="103"/>
      <c r="H145" s="103"/>
      <c r="I145" s="38"/>
      <c r="J145" s="37"/>
      <c r="K145" s="37"/>
      <c r="L145" s="37"/>
      <c r="M145" s="103" t="e">
        <f ca="1">IF(rngIsDate(HostBuild[CTO Acceptance]),"Y","N")</f>
        <v>#NAME?</v>
      </c>
      <c r="N145" s="123" t="s">
        <v>181</v>
      </c>
      <c r="O145" s="39"/>
      <c r="P145" s="39"/>
      <c r="Q145" s="123" t="s">
        <v>50</v>
      </c>
      <c r="R145" s="126" t="str">
        <f>IF(NOT(ISBLANK(HostBuild[Env Label])),IFERROR(VLOOKUP(HostBuild[Env Label],[1]!tEnv[#Data],3,FALSE),""),"")</f>
        <v/>
      </c>
      <c r="S145" s="104"/>
      <c r="T145" s="40"/>
      <c r="U145" s="105"/>
      <c r="V145" s="123" t="s">
        <v>46</v>
      </c>
      <c r="W145" s="123" t="s">
        <v>190</v>
      </c>
      <c r="X145" s="123" t="s">
        <v>57</v>
      </c>
      <c r="Y145" s="123" t="s">
        <v>188</v>
      </c>
      <c r="Z145" s="126" t="str">
        <f>IF(NOT(ISBLANK(HostBuild[[#This Row],[Product 
(Acronym)]])),CONCATENATE(HostBuild[[#This Row],[Type]],"-",HostBuild[[#This Row],[Product 
(Acronym)]]),"")</f>
        <v>AP-CBOL</v>
      </c>
      <c r="AA145" s="106"/>
      <c r="AB145" s="106" t="s">
        <v>76</v>
      </c>
      <c r="AC145" s="41"/>
      <c r="AD145" s="42"/>
      <c r="AE145" s="42"/>
      <c r="AF145" s="43"/>
      <c r="AG145" s="124"/>
      <c r="AH145" s="107"/>
      <c r="AI145" s="124" t="s">
        <v>213</v>
      </c>
      <c r="AJ145" s="123">
        <f>IF(COUNTIF(HostBuild[Alias],HostBuild[Alias]),1/COUNTIF(HostBuild[Alias],HostBuild[Alias]),0)</f>
        <v>1</v>
      </c>
      <c r="AK145" s="124"/>
      <c r="AL145" s="124"/>
      <c r="AM145" s="44" t="s">
        <v>62</v>
      </c>
      <c r="AN145" s="45" t="str">
        <f>IF(NOT(ISBLANK(HostBuild[Server Model])),VLOOKUP(HostBuild[Server Model],[1]!ServerModelsTier[#Data],2,FALSE),"")</f>
        <v>x86 Tier 3</v>
      </c>
      <c r="AO145" s="45" t="str">
        <f>IF(NOT(ISBLANK(HostBuild[Server Model])),VLOOKUP(HostBuild[Server Model],[1]!ServerModelsTier[#Data],5,FALSE),"")</f>
        <v>x86</v>
      </c>
      <c r="AP145" s="44"/>
      <c r="AQ145" s="44" t="s">
        <v>63</v>
      </c>
      <c r="AR145" s="46">
        <v>2</v>
      </c>
      <c r="AS145" s="108"/>
      <c r="AT145" s="47">
        <v>16</v>
      </c>
      <c r="AU145" s="109" t="str">
        <f>IF(IFERROR(FIND("P-Series",HostBuild[Server Tier]),0),CEILING((HostBuild[Existing CPUs]+HostBuild[CPU])*16,8),"")</f>
        <v/>
      </c>
      <c r="AV145" s="48">
        <v>128</v>
      </c>
      <c r="AW145" s="124"/>
      <c r="AX145" s="124"/>
      <c r="AY145" s="124"/>
      <c r="AZ145" s="49"/>
      <c r="BA145" s="124"/>
      <c r="BB145" s="124"/>
      <c r="BC145" s="42"/>
      <c r="BD145" s="124"/>
      <c r="BE145" s="124"/>
      <c r="BF145" s="124"/>
      <c r="BG145" s="124"/>
      <c r="BH145" s="124"/>
      <c r="BI145" s="124"/>
      <c r="BJ145" s="124"/>
      <c r="BK145"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45" s="127">
        <v>600</v>
      </c>
      <c r="BM145" s="129">
        <f>IF(ISNUMBER(HostBuild[Recommended SAN (GB)]),HostBuild[Recommended SAN (GB)])+IF(HostBuild[Additional SAN (GB)]&gt;0,CEILING(HostBuild[Additional SAN (GB)],LUN),-(CEILING(-HostBuild[Additional SAN (GB)],LUN)))</f>
        <v>808.80000000000007</v>
      </c>
      <c r="BN145" s="128"/>
      <c r="BO145" s="129">
        <f>HostBuild[SAN (GB)
NEEDED TODAY]+CEILING(HostBuild[SAN (GB)
RESERVED
DO NOT USE TO BUILD], LUN)</f>
        <v>808.80000000000007</v>
      </c>
      <c r="BP145" s="130"/>
      <c r="BQ145" s="131"/>
      <c r="BR145" s="125" t="s">
        <v>76</v>
      </c>
      <c r="BS145" s="110">
        <f>IF(HostBuild[Existing Server?]&lt;&gt;"Yes - Inside this BoM",IF(ISNUMBER(HostBuild[RAM 
(GB)]),IF(HostBuild[Existing RAM (GB)]+HostBuild[RAM 
(GB)]&gt;0,IF(HostBuild[Virtual Platform Storage Type]="NAS",110+HostBuild[Existing RAM (GB)]+HostBuild[RAM 
(GB)]*1.75,0),0),0),0)</f>
        <v>0</v>
      </c>
      <c r="BT145" s="111"/>
      <c r="BU145" s="112">
        <f>IF(ISNUMBER(HostBuild[Recommended NAS (GB)]),HostBuild[Recommended NAS (GB)])+HostBuild[Additional NAS (GB)]</f>
        <v>0</v>
      </c>
      <c r="BV145" s="50"/>
      <c r="BW145" s="50"/>
      <c r="BX145" s="133">
        <f>IFERROR((HostBuild[SAN (GB)
End-State
DO NOT USE TO BUILD]+HostBuild[SAN (GB) Shared])*25%,"")</f>
        <v>202.20000000000002</v>
      </c>
      <c r="BY145" s="113">
        <f>IFERROR(HostBuild[Archive
Full (GB)]*15%,"")</f>
        <v>30.330000000000002</v>
      </c>
      <c r="BZ145" s="51"/>
      <c r="CA145" s="51"/>
      <c r="CB145" s="52"/>
      <c r="CC145" s="53"/>
      <c r="CD145" s="52"/>
      <c r="CE145" s="54"/>
      <c r="CF145" s="128"/>
      <c r="CG145" s="114"/>
      <c r="CH145" s="55"/>
      <c r="CI145" s="56"/>
      <c r="CJ145" s="57"/>
      <c r="CK145" s="58"/>
      <c r="CL145" s="59">
        <f>IFERROR(IF(FIND(CL$1,$W145)&gt;0,IF(INDEX([1]!Product_Pricing_Table[#Data],MATCH(CL$1,Products,0),2)="Cores",IF(HostBuild[Use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5" s="59">
        <f>IFERROR(IF(FIND(CM$1,$W145)&gt;0,IF(INDEX([1]!Product_Pricing_Table[#Data],MATCH(CM$1,Products,0),2)="Cores",IF(HostBuild[Use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5" s="59">
        <f>IFERROR(IF(FIND(CN$1,$W145)&gt;0,IF(INDEX([1]!Product_Pricing_Table[#Data],MATCH(CN$1,Products,0),2)="Cores",IF(HostBuild[Use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5" s="59">
        <f>IFERROR(IF(FIND(CO$1,$W145)&gt;0,IF(INDEX([1]!Product_Pricing_Table[#Data],MATCH(CO$1,Products,0),2)="Cores",IF(HostBuild[Use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5" s="59">
        <f>IFERROR(IF(FIND(CP$1,$W145)&gt;0,IF(INDEX([1]!Product_Pricing_Table[#Data],MATCH(CP$1,Products,0),2)="Cores",IF(HostBuild[Use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5" s="59">
        <f>IFERROR(IF(FIND(CQ$1,$W145)&gt;0,IF(INDEX([1]!Product_Pricing_Table[#Data],MATCH(CQ$1,Products,0),2)="Cores",IF(HostBuild[Use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5" s="59">
        <f>IFERROR(IF(FIND(CR$1,$W145)&gt;0,IF(INDEX([1]!Product_Pricing_Table[#Data],MATCH(CR$1,Products,0),2)="Cores",IF(HostBuild[Use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5" s="59">
        <f>IFERROR(IF(FIND(CS$1,$W145)&gt;0,IF(INDEX([1]!Product_Pricing_Table[#Data],MATCH(CS$1,Products,0),2)="Cores",IF(HostBuild[Use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5" s="59">
        <f>IFERROR(IF(FIND(CT$1,$W145)&gt;0,IF(INDEX([1]!Product_Pricing_Table[#Data],MATCH(CT$1,Products,0),2)="Cores",IF(HostBuild[Use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5" s="59">
        <f>IFERROR(IF(FIND(CU$1,$W145)&gt;0,IF(INDEX([1]!Product_Pricing_Table[#Data],MATCH(CU$1,Products,0),2)="Cores",IF(HostBuild[Use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5" s="59">
        <f>IFERROR(IF(FIND(CV$1,$W145)&gt;0,IF(INDEX([1]!Product_Pricing_Table[#Data],MATCH(CV$1,Products,0),2)="Cores",IF(HostBuild[Use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5" s="59">
        <f>IFERROR(IF(FIND(CW$1,$W145)&gt;0,IF(INDEX([1]!Product_Pricing_Table[#Data],MATCH(CW$1,Products,0),2)="Cores",IF(HostBuild[Use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5" s="59">
        <f>IFERROR(IF(FIND(CX$1,$W145)&gt;0,IF(INDEX([1]!Product_Pricing_Table[#Data],MATCH(CX$1,Products,0),2)="Cores",IF(HostBuild[Use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5" s="59">
        <f>IFERROR(IF(FIND(CY$1,$W145)&gt;0,IF(INDEX([1]!Product_Pricing_Table[#Data],MATCH(CY$1,Products,0),2)="Cores",IF(HostBuild[Use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5" s="59">
        <f>IFERROR(IF(FIND(CZ$1,$W145)&gt;0,IF(INDEX([1]!Product_Pricing_Table[#Data],MATCH(CZ$1,Products,0),2)="Cores",IF(HostBuild[Use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5" s="59">
        <f>IFERROR(IF(FIND(DA$1,$W145)&gt;0,IF(INDEX([1]!Product_Pricing_Table[#Data],MATCH(DA$1,Products,0),2)="Cores",IF(HostBuild[Use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5" s="59">
        <f>IFERROR(IF(FIND(DB$1,$W145)&gt;0,IF(INDEX([1]!Product_Pricing_Table[#Data],MATCH(DB$1,Products,0),2)="Cores",IF(HostBuild[Use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5" s="59">
        <f>IFERROR(IF(FIND(DC$1,$W145)&gt;0,IF(INDEX([1]!Product_Pricing_Table[#Data],MATCH(DC$1,Products,0),2)="Cores",IF(HostBuild[Use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5" s="59">
        <f>IFERROR(IF(FIND(DD$1,$W145)&gt;0,IF(INDEX([1]!Product_Pricing_Table[#Data],MATCH(DD$1,Products,0),2)="Cores",IF(HostBuild[Use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5" s="59">
        <f>IFERROR(IF(FIND(DE$1,$W145)&gt;0,IF(INDEX([1]!Product_Pricing_Table[#Data],MATCH(DE$1,Products,0),2)="Cores",IF(HostBuild[Use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5" s="60">
        <f>IFERROR(IF(FIND(DF$1,$W145)&gt;0,IF(INDEX([1]!Product_Pricing_Table[#Data],MATCH(DF$1,Products,0),2)="Cores",IF(HostBuild[Use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5" s="60">
        <f>IFERROR(IF(FIND(DG$1,$W145)&gt;0,IF(INDEX([1]!Product_Pricing_Table[#Data],MATCH(DG$1,Products,0),2)="Cores",IF(HostBuild[Use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5" s="59">
        <f>IFERROR(IF(FIND(DH$1,$W145)&gt;0,IF(INDEX([1]!Product_Pricing_Table[#Data],MATCH(DH$1,Products,0),2)="Cores",IF(HostBuild[Use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5" s="60">
        <f>IFERROR(IF(FIND(DI$1,$W145)&gt;0,IF(INDEX([1]!Product_Pricing_Table[#Data],MATCH(DI$1,Products,0),2)="Cores",IF(HostBuild[Use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5" s="59">
        <f>IFERROR(IF(FIND(DJ$1,$W145)&gt;0,IF(INDEX([1]!Product_Pricing_Table[#Data],MATCH(DJ$1,Products,0),2)="Cores",IF(HostBuild[Use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5" s="59">
        <f>IFERROR(IF(FIND(DK$1,$W145)&gt;0,IF(INDEX([1]!Product_Pricing_Table[#Data],MATCH(DK$1,Products,0),2)="Cores",IF(HostBuild[Use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5" s="59">
        <f>IFERROR(IF(FIND(DL$1,$W145)&gt;0,IF(INDEX([1]!Product_Pricing_Table[#Data],MATCH(DL$1,Products,0),2)="Cores",IF(HostBuild[Use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5" s="59">
        <f>IFERROR(IF(FIND(DM$1,$W145)&gt;0,IF(INDEX([1]!Product_Pricing_Table[#Data],MATCH(DM$1,Products,0),2)="Cores",IF(HostBuild[Use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5" s="59">
        <f>IFERROR(IF(FIND(DN$1,$W145)&gt;0,IF(INDEX([1]!Product_Pricing_Table[#Data],MATCH(DN$1,Products,0),2)="Cores",IF(HostBuild[Use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5" s="59">
        <f>IFERROR(IF(FIND(DO$1,$W145)&gt;0,IF(INDEX([1]!Product_Pricing_Table[#Data],MATCH(DO$1,Products,0),2)="Cores",IF(HostBuild[Use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5" s="59">
        <f>IFERROR(IF(FIND(DP$1,$W145)&gt;0,IF(INDEX([1]!Product_Pricing_Table[#Data],MATCH(DP$1,Products,0),2)="Cores",IF(HostBuild[Use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5" s="59">
        <f>IFERROR(IF(FIND(DQ$1,$W145)&gt;0,IF(INDEX([1]!Product_Pricing_Table[#Data],MATCH(DQ$1,Products,0),2)="Cores",IF(HostBuild[Use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5" s="59">
        <f>IFERROR(IF(FIND(DR$1,$W145)&gt;0,IF(INDEX([1]!Product_Pricing_Table[#Data],MATCH(DR$1,Products,0),2)="Cores",IF(HostBuild[Use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5" s="59">
        <f>IFERROR(IF(FIND(DS$1,$W145)&gt;0,IF(INDEX([1]!Product_Pricing_Table[#Data],MATCH(DS$1,Products,0),2)="Cores",IF(HostBuild[Use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5" s="59">
        <f>IFERROR(IF(FIND(DT$1,$W145)&gt;0,IF(INDEX([1]!Product_Pricing_Table[#Data],MATCH(DT$1,Products,0),2)="Cores",IF(HostBuild[Use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5" s="59">
        <f>IFERROR(IF(FIND(DU$1,$W145)&gt;0,IF(INDEX([1]!Product_Pricing_Table[#Data],MATCH(DU$1,Products,0),2)="Cores",IF(HostBuild[Use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5" s="59">
        <f>IFERROR(IF(FIND(DV$1,$W145)&gt;0,IF(INDEX([1]!Product_Pricing_Table[#Data],MATCH(DV$1,Products,0),2)="Cores",IF(HostBuild[Use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5" s="59">
        <f>IFERROR(IF(FIND(DW$1,$W145)&gt;0,IF(INDEX([1]!Product_Pricing_Table[#Data],MATCH(DW$1,Products,0),2)="Cores",IF(HostBuild[Use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5" s="59">
        <f>IFERROR(IF(FIND(DX$1,$W145)&gt;0,IF(INDEX([1]!Product_Pricing_Table[#Data],MATCH(DX$1,Products,0),2)="Cores",IF(HostBuild[Use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5" s="59">
        <f>IFERROR(IF(FIND(DY$1,$W145)&gt;0,IF(INDEX([1]!Product_Pricing_Table[#Data],MATCH(DY$1,Products,0),2)="Cores",IF(HostBuild[Use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5" s="59">
        <f>IFERROR(IF(FIND(DZ$1,$W145)&gt;0,IF(INDEX([1]!Product_Pricing_Table[#Data],MATCH(DZ$1,Products,0),2)="Cores",IF(HostBuild[Use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5" s="59">
        <f>IFERROR(IF(FIND(EA$1,$W145)&gt;0,IF(INDEX([1]!Product_Pricing_Table[#Data],MATCH(EA$1,Products,0),2)="Cores",IF(HostBuild[Use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5" s="59">
        <f>IFERROR(IF(FIND(EB$1,$W145)&gt;0,IF(INDEX([1]!Product_Pricing_Table[#Data],MATCH(EB$1,Products,0),2)="Cores",IF(HostBuild[Use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5" s="60">
        <f>IFERROR(IF(FIND(EC$1,$W145)&gt;0,IF(INDEX([1]!Product_Pricing_Table[#Data],MATCH(EC$1,Products,0),2)="Cores",IF(HostBuild[Use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5" s="59">
        <f>IFERROR(IF(FIND(ED$1,$W145)&gt;0,IF(INDEX([1]!Product_Pricing_Table[#Data],MATCH(ED$1,Products,0),2)="Cores",IF(HostBuild[Use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5" s="59">
        <f>IFERROR(IF(FIND(EE$1,$W145)&gt;0,IF(INDEX([1]!Product_Pricing_Table[#Data],MATCH(EE$1,Products,0),2)="Cores",IF(HostBuild[Use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5" s="59">
        <f>IFERROR(IF(FIND(EF$1,$W145)&gt;0,IF(INDEX([1]!Product_Pricing_Table[#Data],MATCH(EF$1,Products,0),2)="Cores",IF(HostBuild[Use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5" s="59">
        <f>IFERROR(IF(FIND(EG$1,$W145)&gt;0,IF(INDEX([1]!Product_Pricing_Table[#Data],MATCH(EG$1,Products,0),2)="Cores",IF(HostBuild[Use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5" s="59">
        <f>IFERROR(IF(FIND(EH$1,$W145)&gt;0,IF(INDEX([1]!Product_Pricing_Table[#Data],MATCH(EH$1,Products,0),2)="Cores",IF(HostBuild[Use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5" s="59">
        <f>IFERROR(IF(FIND(EI$1,$W145)&gt;0,IF(INDEX([1]!Product_Pricing_Table[#Data],MATCH(EI$1,Products,0),2)="Cores",IF(HostBuild[Use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5" s="59">
        <f>IFERROR(IF(FIND(EJ$1,$W145)&gt;0,IF(INDEX([1]!Product_Pricing_Table[#Data],MATCH(EJ$1,Products,0),2)="Cores",IF(HostBuild[Use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5" s="60">
        <f>IFERROR(IF(FIND(EK$1,$W145)&gt;0,IF(INDEX([1]!Product_Pricing_Table[#Data],MATCH(EK$1,Products,0),2)="Cores",IF(HostBuild[Use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5" s="61"/>
      <c r="EM145" s="62"/>
      <c r="EN145" s="63"/>
      <c r="EO145"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4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363.96000000000004</v>
      </c>
      <c r="EQ145" s="132">
        <f>(HostBuild[Archive
Full (GB)]+HostBuild[Archive
Incr (GB)])*Storage_DC_Dist_Tape_2014</f>
        <v>81.385500000000008</v>
      </c>
      <c r="ER145" s="132">
        <f>IF(ISNUMBER(HostBuild[Server HW Costs
(Monthly)]),SUM(HostBuild[[#This Row],[Server HW Costs
(Monthly)]:[Tape Costs
(Monthly)]]),0)</f>
        <v>1334.0455000000002</v>
      </c>
      <c r="ES145" s="65">
        <f>HostBuild[Software Costs
'[Year 1']
(Monthly)]+HostBuild[Total Hardware Costs
(Monthly)]</f>
        <v>1334.0455000000002</v>
      </c>
      <c r="ET145" s="65">
        <f>IFERROR(IF(FIND("Safenet",HostBuild[Server Model]),Safenet_PSE_PL600_Maint,0),0)+IFERROR(IF(FIND("XI52",HostBuild[Server Model]),IBM_DIA_XI52_Maint,0),0)+HostBuild[Software Costs
'[After Year 1']
(Monthly)]+HostBuild[Total Hardware Costs
(Monthly)]</f>
        <v>1334.0455000000002</v>
      </c>
      <c r="EU145" s="66">
        <f>SUM(HostBuild[[#This Row],[Server Cost Breakdown]:[Network Cost]])</f>
        <v>888.7</v>
      </c>
      <c r="EV145" s="67">
        <f>IF(HostBuild[Existing Server?]="Yes - Inside this BoM",0,SUMIF(HostBuild[Alias],HostBuild[Alias],HostBuild[CPU])+SUMIF(HostBuild[Alias],HostBuild[Alias],HostBuild[Existing CPUs]))</f>
        <v>2</v>
      </c>
      <c r="EW145" s="67">
        <f>IF(HostBuild[Existing Server?]="Yes - Inside this BoM",0,SUMIF(HostBuild[Alias],HostBuild[Alias],HostBuild[Cores 
(Licensed Units)])+SUMIF(HostBuild[Alias],HostBuild[Alias],HostBuild[Existing Cores]))</f>
        <v>16</v>
      </c>
      <c r="EX145" s="67">
        <f>IF(HostBuild[Existing Server?]="Yes - Inside this BoM",0,SUMIF(HostBuild[Alias],HostBuild[Alias],HostBuild[RAM 
(GB)])+SUMIF(HostBuild[Alias],HostBuild[Alias],HostBuild[Existing RAM (GB)]))</f>
        <v>128</v>
      </c>
      <c r="EY14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5" s="66">
        <f>IF(ISBLANK(HostBuild[Server Model]),0,IF(HostBuild[Server Tier]="VMware",0,VLOOKUP(HostBuild[Server Tier],[1]!ServerTierRates[#Data],2,0))*HostBuild[CPU]*IF(AND(HostBuild[Server Type]="pSeries",HostBuild[Virtual Platform Storage Type]="Cloud-SAN"),0.25,1))</f>
        <v>608</v>
      </c>
      <c r="FD145" s="66">
        <f>0</f>
        <v>0</v>
      </c>
      <c r="FE145" s="66">
        <f>IF(HostBuild[Server Type]="VMware",HostBuild[RAM 
(GB)]*IF(ISERROR(FIND("DevCloud", HostBuild[Server Model])&gt;0),vRAM_per_vCPU_2014_Monthly,vRAM_per_vCPU_2014_Daily*30),0)</f>
        <v>0</v>
      </c>
      <c r="FF14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4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5" s="69">
        <f>IF(HostBuild[Server Tier]="VMware",0,IF(LEFT(HostBuild[Existing Server?],3)="Yes",0,IF(OR(HostBuild[Server Type]="Sun",HostBuild[Server Type]="pSeries"),Support_Direct_Server_Sun_per_OS_2014,IF(HostBuild[Server Type]="x86",Support_Direct_Server_x86_Wintel_per_OS_2014,0))))</f>
        <v>187.1</v>
      </c>
      <c r="FI14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6" spans="1:165">
      <c r="A146" s="122" t="s">
        <v>53</v>
      </c>
      <c r="B146" s="36"/>
      <c r="C146" s="36"/>
      <c r="D146" s="36"/>
      <c r="E146" s="37"/>
      <c r="F146" s="37"/>
      <c r="G146" s="103"/>
      <c r="H146" s="103"/>
      <c r="I146" s="38"/>
      <c r="J146" s="37"/>
      <c r="K146" s="37"/>
      <c r="L146" s="37"/>
      <c r="M146" s="103" t="e">
        <f ca="1">IF(rngIsDate(HostBuild[CTO Acceptance]),"Y","N")</f>
        <v>#NAME?</v>
      </c>
      <c r="N146" s="123" t="s">
        <v>181</v>
      </c>
      <c r="O146" s="39"/>
      <c r="P146" s="39"/>
      <c r="Q146" s="123" t="s">
        <v>49</v>
      </c>
      <c r="R146" s="126" t="str">
        <f>IF(NOT(ISBLANK(HostBuild[Env Label])),IFERROR(VLOOKUP(HostBuild[Env Label],[1]!tEnv[#Data],3,FALSE),""),"")</f>
        <v/>
      </c>
      <c r="S146" s="104"/>
      <c r="T146" s="40"/>
      <c r="U146" s="105"/>
      <c r="V146" s="123" t="s">
        <v>45</v>
      </c>
      <c r="W146" s="123" t="s">
        <v>190</v>
      </c>
      <c r="X146" s="123" t="s">
        <v>57</v>
      </c>
      <c r="Y146" s="123" t="s">
        <v>188</v>
      </c>
      <c r="Z146" s="126" t="str">
        <f>IF(NOT(ISBLANK(HostBuild[[#This Row],[Product 
(Acronym)]])),CONCATENATE(HostBuild[[#This Row],[Type]],"-",HostBuild[[#This Row],[Product 
(Acronym)]]),"")</f>
        <v>AP-CBOL</v>
      </c>
      <c r="AA146" s="106"/>
      <c r="AB146" s="106" t="s">
        <v>76</v>
      </c>
      <c r="AC146" s="41"/>
      <c r="AD146" s="42"/>
      <c r="AE146" s="42"/>
      <c r="AF146" s="43"/>
      <c r="AG146" s="124"/>
      <c r="AH146" s="107"/>
      <c r="AI146" s="124" t="s">
        <v>214</v>
      </c>
      <c r="AJ146" s="123">
        <f>IF(COUNTIF(HostBuild[Alias],HostBuild[Alias]),1/COUNTIF(HostBuild[Alias],HostBuild[Alias]),0)</f>
        <v>1</v>
      </c>
      <c r="AK146" s="124"/>
      <c r="AL146" s="124"/>
      <c r="AM146" s="44" t="s">
        <v>62</v>
      </c>
      <c r="AN146" s="45" t="str">
        <f>IF(NOT(ISBLANK(HostBuild[Server Model])),VLOOKUP(HostBuild[Server Model],[1]!ServerModelsTier[#Data],2,FALSE),"")</f>
        <v>x86 Tier 3</v>
      </c>
      <c r="AO146" s="45" t="str">
        <f>IF(NOT(ISBLANK(HostBuild[Server Model])),VLOOKUP(HostBuild[Server Model],[1]!ServerModelsTier[#Data],5,FALSE),"")</f>
        <v>x86</v>
      </c>
      <c r="AP146" s="44"/>
      <c r="AQ146" s="44" t="s">
        <v>63</v>
      </c>
      <c r="AR146" s="46">
        <v>2</v>
      </c>
      <c r="AS146" s="108"/>
      <c r="AT146" s="47">
        <v>16</v>
      </c>
      <c r="AU146" s="109" t="str">
        <f>IF(IFERROR(FIND("P-Series",HostBuild[Server Tier]),0),CEILING((HostBuild[Existing CPUs]+HostBuild[CPU])*16,8),"")</f>
        <v/>
      </c>
      <c r="AV146" s="48">
        <v>128</v>
      </c>
      <c r="AW146" s="124"/>
      <c r="AX146" s="124"/>
      <c r="AY146" s="124"/>
      <c r="AZ146" s="49"/>
      <c r="BA146" s="124"/>
      <c r="BB146" s="124"/>
      <c r="BC146" s="42"/>
      <c r="BD146" s="124"/>
      <c r="BE146" s="124"/>
      <c r="BF146" s="124"/>
      <c r="BG146" s="124"/>
      <c r="BH146" s="124"/>
      <c r="BI146" s="124"/>
      <c r="BJ146" s="124"/>
      <c r="BK146"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46" s="127">
        <v>800</v>
      </c>
      <c r="BM146" s="129">
        <f>IF(ISNUMBER(HostBuild[Recommended SAN (GB)]),HostBuild[Recommended SAN (GB)])+IF(HostBuild[Additional SAN (GB)]&gt;0,CEILING(HostBuild[Additional SAN (GB)],LUN),-(CEILING(-HostBuild[Additional SAN (GB)],LUN)))</f>
        <v>1011.0000000000001</v>
      </c>
      <c r="BN146" s="128"/>
      <c r="BO146" s="129">
        <f>HostBuild[SAN (GB)
NEEDED TODAY]+CEILING(HostBuild[SAN (GB)
RESERVED
DO NOT USE TO BUILD], LUN)</f>
        <v>1011.0000000000001</v>
      </c>
      <c r="BP146" s="130"/>
      <c r="BQ146" s="131"/>
      <c r="BR146" s="125" t="s">
        <v>76</v>
      </c>
      <c r="BS146" s="110">
        <f>IF(HostBuild[Existing Server?]&lt;&gt;"Yes - Inside this BoM",IF(ISNUMBER(HostBuild[RAM 
(GB)]),IF(HostBuild[Existing RAM (GB)]+HostBuild[RAM 
(GB)]&gt;0,IF(HostBuild[Virtual Platform Storage Type]="NAS",110+HostBuild[Existing RAM (GB)]+HostBuild[RAM 
(GB)]*1.75,0),0),0),0)</f>
        <v>0</v>
      </c>
      <c r="BT146" s="111"/>
      <c r="BU146" s="112">
        <f>IF(ISNUMBER(HostBuild[Recommended NAS (GB)]),HostBuild[Recommended NAS (GB)])+HostBuild[Additional NAS (GB)]</f>
        <v>0</v>
      </c>
      <c r="BV146" s="50"/>
      <c r="BW146" s="50"/>
      <c r="BX146" s="133">
        <f>IFERROR((HostBuild[SAN (GB)
End-State
DO NOT USE TO BUILD]+HostBuild[SAN (GB) Shared])*25%,"")</f>
        <v>252.75000000000003</v>
      </c>
      <c r="BY146" s="113">
        <f>IFERROR(HostBuild[Archive
Full (GB)]*15%,"")</f>
        <v>37.912500000000001</v>
      </c>
      <c r="BZ146" s="51"/>
      <c r="CA146" s="51"/>
      <c r="CB146" s="52"/>
      <c r="CC146" s="53"/>
      <c r="CD146" s="52"/>
      <c r="CE146" s="54"/>
      <c r="CF146" s="128"/>
      <c r="CG146" s="114"/>
      <c r="CH146" s="55"/>
      <c r="CI146" s="56"/>
      <c r="CJ146" s="57"/>
      <c r="CK146" s="58"/>
      <c r="CL146" s="59">
        <f>IFERROR(IF(FIND(CL$1,$W146)&gt;0,IF(INDEX([1]!Product_Pricing_Table[#Data],MATCH(CL$1,Products,0),2)="Cores",IF(HostBuild[Use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6" s="59">
        <f>IFERROR(IF(FIND(CM$1,$W146)&gt;0,IF(INDEX([1]!Product_Pricing_Table[#Data],MATCH(CM$1,Products,0),2)="Cores",IF(HostBuild[Use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6" s="59">
        <f>IFERROR(IF(FIND(CN$1,$W146)&gt;0,IF(INDEX([1]!Product_Pricing_Table[#Data],MATCH(CN$1,Products,0),2)="Cores",IF(HostBuild[Use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6" s="59">
        <f>IFERROR(IF(FIND(CO$1,$W146)&gt;0,IF(INDEX([1]!Product_Pricing_Table[#Data],MATCH(CO$1,Products,0),2)="Cores",IF(HostBuild[Use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6" s="59">
        <f>IFERROR(IF(FIND(CP$1,$W146)&gt;0,IF(INDEX([1]!Product_Pricing_Table[#Data],MATCH(CP$1,Products,0),2)="Cores",IF(HostBuild[Use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6" s="59">
        <f>IFERROR(IF(FIND(CQ$1,$W146)&gt;0,IF(INDEX([1]!Product_Pricing_Table[#Data],MATCH(CQ$1,Products,0),2)="Cores",IF(HostBuild[Use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6" s="59">
        <f>IFERROR(IF(FIND(CR$1,$W146)&gt;0,IF(INDEX([1]!Product_Pricing_Table[#Data],MATCH(CR$1,Products,0),2)="Cores",IF(HostBuild[Use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6" s="59">
        <f>IFERROR(IF(FIND(CS$1,$W146)&gt;0,IF(INDEX([1]!Product_Pricing_Table[#Data],MATCH(CS$1,Products,0),2)="Cores",IF(HostBuild[Use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6" s="59">
        <f>IFERROR(IF(FIND(CT$1,$W146)&gt;0,IF(INDEX([1]!Product_Pricing_Table[#Data],MATCH(CT$1,Products,0),2)="Cores",IF(HostBuild[Use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6" s="59">
        <f>IFERROR(IF(FIND(CU$1,$W146)&gt;0,IF(INDEX([1]!Product_Pricing_Table[#Data],MATCH(CU$1,Products,0),2)="Cores",IF(HostBuild[Use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6" s="59">
        <f>IFERROR(IF(FIND(CV$1,$W146)&gt;0,IF(INDEX([1]!Product_Pricing_Table[#Data],MATCH(CV$1,Products,0),2)="Cores",IF(HostBuild[Use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6" s="59">
        <f>IFERROR(IF(FIND(CW$1,$W146)&gt;0,IF(INDEX([1]!Product_Pricing_Table[#Data],MATCH(CW$1,Products,0),2)="Cores",IF(HostBuild[Use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6" s="59">
        <f>IFERROR(IF(FIND(CX$1,$W146)&gt;0,IF(INDEX([1]!Product_Pricing_Table[#Data],MATCH(CX$1,Products,0),2)="Cores",IF(HostBuild[Use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6" s="59">
        <f>IFERROR(IF(FIND(CY$1,$W146)&gt;0,IF(INDEX([1]!Product_Pricing_Table[#Data],MATCH(CY$1,Products,0),2)="Cores",IF(HostBuild[Use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6" s="59">
        <f>IFERROR(IF(FIND(CZ$1,$W146)&gt;0,IF(INDEX([1]!Product_Pricing_Table[#Data],MATCH(CZ$1,Products,0),2)="Cores",IF(HostBuild[Use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6" s="59">
        <f>IFERROR(IF(FIND(DA$1,$W146)&gt;0,IF(INDEX([1]!Product_Pricing_Table[#Data],MATCH(DA$1,Products,0),2)="Cores",IF(HostBuild[Use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6" s="59">
        <f>IFERROR(IF(FIND(DB$1,$W146)&gt;0,IF(INDEX([1]!Product_Pricing_Table[#Data],MATCH(DB$1,Products,0),2)="Cores",IF(HostBuild[Use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6" s="59">
        <f>IFERROR(IF(FIND(DC$1,$W146)&gt;0,IF(INDEX([1]!Product_Pricing_Table[#Data],MATCH(DC$1,Products,0),2)="Cores",IF(HostBuild[Use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6" s="59">
        <f>IFERROR(IF(FIND(DD$1,$W146)&gt;0,IF(INDEX([1]!Product_Pricing_Table[#Data],MATCH(DD$1,Products,0),2)="Cores",IF(HostBuild[Use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6" s="59">
        <f>IFERROR(IF(FIND(DE$1,$W146)&gt;0,IF(INDEX([1]!Product_Pricing_Table[#Data],MATCH(DE$1,Products,0),2)="Cores",IF(HostBuild[Use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6" s="60">
        <f>IFERROR(IF(FIND(DF$1,$W146)&gt;0,IF(INDEX([1]!Product_Pricing_Table[#Data],MATCH(DF$1,Products,0),2)="Cores",IF(HostBuild[Use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6" s="60">
        <f>IFERROR(IF(FIND(DG$1,$W146)&gt;0,IF(INDEX([1]!Product_Pricing_Table[#Data],MATCH(DG$1,Products,0),2)="Cores",IF(HostBuild[Use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6" s="59">
        <f>IFERROR(IF(FIND(DH$1,$W146)&gt;0,IF(INDEX([1]!Product_Pricing_Table[#Data],MATCH(DH$1,Products,0),2)="Cores",IF(HostBuild[Use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6" s="60">
        <f>IFERROR(IF(FIND(DI$1,$W146)&gt;0,IF(INDEX([1]!Product_Pricing_Table[#Data],MATCH(DI$1,Products,0),2)="Cores",IF(HostBuild[Use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6" s="59">
        <f>IFERROR(IF(FIND(DJ$1,$W146)&gt;0,IF(INDEX([1]!Product_Pricing_Table[#Data],MATCH(DJ$1,Products,0),2)="Cores",IF(HostBuild[Use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6" s="59">
        <f>IFERROR(IF(FIND(DK$1,$W146)&gt;0,IF(INDEX([1]!Product_Pricing_Table[#Data],MATCH(DK$1,Products,0),2)="Cores",IF(HostBuild[Use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6" s="59">
        <f>IFERROR(IF(FIND(DL$1,$W146)&gt;0,IF(INDEX([1]!Product_Pricing_Table[#Data],MATCH(DL$1,Products,0),2)="Cores",IF(HostBuild[Use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6" s="59">
        <f>IFERROR(IF(FIND(DM$1,$W146)&gt;0,IF(INDEX([1]!Product_Pricing_Table[#Data],MATCH(DM$1,Products,0),2)="Cores",IF(HostBuild[Use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6" s="59">
        <f>IFERROR(IF(FIND(DN$1,$W146)&gt;0,IF(INDEX([1]!Product_Pricing_Table[#Data],MATCH(DN$1,Products,0),2)="Cores",IF(HostBuild[Use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6" s="59">
        <f>IFERROR(IF(FIND(DO$1,$W146)&gt;0,IF(INDEX([1]!Product_Pricing_Table[#Data],MATCH(DO$1,Products,0),2)="Cores",IF(HostBuild[Use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6" s="59">
        <f>IFERROR(IF(FIND(DP$1,$W146)&gt;0,IF(INDEX([1]!Product_Pricing_Table[#Data],MATCH(DP$1,Products,0),2)="Cores",IF(HostBuild[Use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6" s="59">
        <f>IFERROR(IF(FIND(DQ$1,$W146)&gt;0,IF(INDEX([1]!Product_Pricing_Table[#Data],MATCH(DQ$1,Products,0),2)="Cores",IF(HostBuild[Use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6" s="59">
        <f>IFERROR(IF(FIND(DR$1,$W146)&gt;0,IF(INDEX([1]!Product_Pricing_Table[#Data],MATCH(DR$1,Products,0),2)="Cores",IF(HostBuild[Use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6" s="59">
        <f>IFERROR(IF(FIND(DS$1,$W146)&gt;0,IF(INDEX([1]!Product_Pricing_Table[#Data],MATCH(DS$1,Products,0),2)="Cores",IF(HostBuild[Use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6" s="59">
        <f>IFERROR(IF(FIND(DT$1,$W146)&gt;0,IF(INDEX([1]!Product_Pricing_Table[#Data],MATCH(DT$1,Products,0),2)="Cores",IF(HostBuild[Use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6" s="59">
        <f>IFERROR(IF(FIND(DU$1,$W146)&gt;0,IF(INDEX([1]!Product_Pricing_Table[#Data],MATCH(DU$1,Products,0),2)="Cores",IF(HostBuild[Use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6" s="59">
        <f>IFERROR(IF(FIND(DV$1,$W146)&gt;0,IF(INDEX([1]!Product_Pricing_Table[#Data],MATCH(DV$1,Products,0),2)="Cores",IF(HostBuild[Use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6" s="59">
        <f>IFERROR(IF(FIND(DW$1,$W146)&gt;0,IF(INDEX([1]!Product_Pricing_Table[#Data],MATCH(DW$1,Products,0),2)="Cores",IF(HostBuild[Use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6" s="59">
        <f>IFERROR(IF(FIND(DX$1,$W146)&gt;0,IF(INDEX([1]!Product_Pricing_Table[#Data],MATCH(DX$1,Products,0),2)="Cores",IF(HostBuild[Use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6" s="59">
        <f>IFERROR(IF(FIND(DY$1,$W146)&gt;0,IF(INDEX([1]!Product_Pricing_Table[#Data],MATCH(DY$1,Products,0),2)="Cores",IF(HostBuild[Use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6" s="59">
        <f>IFERROR(IF(FIND(DZ$1,$W146)&gt;0,IF(INDEX([1]!Product_Pricing_Table[#Data],MATCH(DZ$1,Products,0),2)="Cores",IF(HostBuild[Use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6" s="59">
        <f>IFERROR(IF(FIND(EA$1,$W146)&gt;0,IF(INDEX([1]!Product_Pricing_Table[#Data],MATCH(EA$1,Products,0),2)="Cores",IF(HostBuild[Use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6" s="59">
        <f>IFERROR(IF(FIND(EB$1,$W146)&gt;0,IF(INDEX([1]!Product_Pricing_Table[#Data],MATCH(EB$1,Products,0),2)="Cores",IF(HostBuild[Use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6" s="60">
        <f>IFERROR(IF(FIND(EC$1,$W146)&gt;0,IF(INDEX([1]!Product_Pricing_Table[#Data],MATCH(EC$1,Products,0),2)="Cores",IF(HostBuild[Use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6" s="59">
        <f>IFERROR(IF(FIND(ED$1,$W146)&gt;0,IF(INDEX([1]!Product_Pricing_Table[#Data],MATCH(ED$1,Products,0),2)="Cores",IF(HostBuild[Use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6" s="59">
        <f>IFERROR(IF(FIND(EE$1,$W146)&gt;0,IF(INDEX([1]!Product_Pricing_Table[#Data],MATCH(EE$1,Products,0),2)="Cores",IF(HostBuild[Use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6" s="59">
        <f>IFERROR(IF(FIND(EF$1,$W146)&gt;0,IF(INDEX([1]!Product_Pricing_Table[#Data],MATCH(EF$1,Products,0),2)="Cores",IF(HostBuild[Use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6" s="59">
        <f>IFERROR(IF(FIND(EG$1,$W146)&gt;0,IF(INDEX([1]!Product_Pricing_Table[#Data],MATCH(EG$1,Products,0),2)="Cores",IF(HostBuild[Use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6" s="59">
        <f>IFERROR(IF(FIND(EH$1,$W146)&gt;0,IF(INDEX([1]!Product_Pricing_Table[#Data],MATCH(EH$1,Products,0),2)="Cores",IF(HostBuild[Use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6" s="59">
        <f>IFERROR(IF(FIND(EI$1,$W146)&gt;0,IF(INDEX([1]!Product_Pricing_Table[#Data],MATCH(EI$1,Products,0),2)="Cores",IF(HostBuild[Use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6" s="59">
        <f>IFERROR(IF(FIND(EJ$1,$W146)&gt;0,IF(INDEX([1]!Product_Pricing_Table[#Data],MATCH(EJ$1,Products,0),2)="Cores",IF(HostBuild[Use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6" s="60">
        <f>IFERROR(IF(FIND(EK$1,$W146)&gt;0,IF(INDEX([1]!Product_Pricing_Table[#Data],MATCH(EK$1,Products,0),2)="Cores",IF(HostBuild[Use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6" s="61"/>
      <c r="EM146" s="62">
        <v>0</v>
      </c>
      <c r="EN146" s="63">
        <v>0</v>
      </c>
      <c r="EO146"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4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454.95000000000005</v>
      </c>
      <c r="EQ146" s="132">
        <f>(HostBuild[Archive
Full (GB)]+HostBuild[Archive
Incr (GB)])*Storage_DC_Dist_Tape_2014</f>
        <v>101.731875</v>
      </c>
      <c r="ER146" s="132">
        <f>IF(ISNUMBER(HostBuild[Server HW Costs
(Monthly)]),SUM(HostBuild[[#This Row],[Server HW Costs
(Monthly)]:[Tape Costs
(Monthly)]]),0)</f>
        <v>1445.381875</v>
      </c>
      <c r="ES146" s="65">
        <f>HostBuild[Software Costs
'[Year 1']
(Monthly)]+HostBuild[Total Hardware Costs
(Monthly)]</f>
        <v>1445.381875</v>
      </c>
      <c r="ET146" s="65">
        <f>IFERROR(IF(FIND("Safenet",HostBuild[Server Model]),Safenet_PSE_PL600_Maint,0),0)+IFERROR(IF(FIND("XI52",HostBuild[Server Model]),IBM_DIA_XI52_Maint,0),0)+HostBuild[Software Costs
'[After Year 1']
(Monthly)]+HostBuild[Total Hardware Costs
(Monthly)]</f>
        <v>1445.381875</v>
      </c>
      <c r="EU146" s="66">
        <f>SUM(HostBuild[[#This Row],[Server Cost Breakdown]:[Network Cost]])</f>
        <v>888.7</v>
      </c>
      <c r="EV146" s="67">
        <f>IF(HostBuild[Existing Server?]="Yes - Inside this BoM",0,SUMIF(HostBuild[Alias],HostBuild[Alias],HostBuild[CPU])+SUMIF(HostBuild[Alias],HostBuild[Alias],HostBuild[Existing CPUs]))</f>
        <v>2</v>
      </c>
      <c r="EW146" s="67">
        <f>IF(HostBuild[Existing Server?]="Yes - Inside this BoM",0,SUMIF(HostBuild[Alias],HostBuild[Alias],HostBuild[Cores 
(Licensed Units)])+SUMIF(HostBuild[Alias],HostBuild[Alias],HostBuild[Existing Cores]))</f>
        <v>16</v>
      </c>
      <c r="EX146" s="67">
        <f>IF(HostBuild[Existing Server?]="Yes - Inside this BoM",0,SUMIF(HostBuild[Alias],HostBuild[Alias],HostBuild[RAM 
(GB)])+SUMIF(HostBuild[Alias],HostBuild[Alias],HostBuild[Existing RAM (GB)]))</f>
        <v>128</v>
      </c>
      <c r="EY14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6" s="66">
        <f>IF(ISBLANK(HostBuild[Server Model]),0,IF(HostBuild[Server Tier]="VMware",0,VLOOKUP(HostBuild[Server Tier],[1]!ServerTierRates[#Data],2,0))*HostBuild[CPU]*IF(AND(HostBuild[Server Type]="pSeries",HostBuild[Virtual Platform Storage Type]="Cloud-SAN"),0.25,1))</f>
        <v>608</v>
      </c>
      <c r="FD146" s="66">
        <f>0</f>
        <v>0</v>
      </c>
      <c r="FE146" s="66">
        <f>IF(HostBuild[Server Type]="VMware",HostBuild[RAM 
(GB)]*IF(ISERROR(FIND("DevCloud", HostBuild[Server Model])&gt;0),vRAM_per_vCPU_2014_Monthly,vRAM_per_vCPU_2014_Daily*30),0)</f>
        <v>0</v>
      </c>
      <c r="FF14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4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6" s="69">
        <f>IF(HostBuild[Server Tier]="VMware",0,IF(LEFT(HostBuild[Existing Server?],3)="Yes",0,IF(OR(HostBuild[Server Type]="Sun",HostBuild[Server Type]="pSeries"),Support_Direct_Server_Sun_per_OS_2014,IF(HostBuild[Server Type]="x86",Support_Direct_Server_x86_Wintel_per_OS_2014,0))))</f>
        <v>187.1</v>
      </c>
      <c r="FI14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7" spans="1:165">
      <c r="A147" s="122" t="s">
        <v>53</v>
      </c>
      <c r="B147" s="36"/>
      <c r="C147" s="36"/>
      <c r="D147" s="36"/>
      <c r="E147" s="37"/>
      <c r="F147" s="37"/>
      <c r="G147" s="103"/>
      <c r="H147" s="103"/>
      <c r="I147" s="38"/>
      <c r="J147" s="37"/>
      <c r="K147" s="37"/>
      <c r="L147" s="37"/>
      <c r="M147" s="103" t="e">
        <f ca="1">IF(rngIsDate(HostBuild[CTO Acceptance]),"Y","N")</f>
        <v>#NAME?</v>
      </c>
      <c r="N147" s="123" t="s">
        <v>181</v>
      </c>
      <c r="O147" s="39"/>
      <c r="P147" s="39"/>
      <c r="Q147" s="123" t="s">
        <v>49</v>
      </c>
      <c r="R147" s="126" t="str">
        <f>IF(NOT(ISBLANK(HostBuild[Env Label])),IFERROR(VLOOKUP(HostBuild[Env Label],[1]!tEnv[#Data],3,FALSE),""),"")</f>
        <v/>
      </c>
      <c r="S147" s="104"/>
      <c r="T147" s="40"/>
      <c r="U147" s="105"/>
      <c r="V147" s="123" t="s">
        <v>46</v>
      </c>
      <c r="W147" s="123" t="s">
        <v>190</v>
      </c>
      <c r="X147" s="123" t="s">
        <v>57</v>
      </c>
      <c r="Y147" s="123" t="s">
        <v>188</v>
      </c>
      <c r="Z147" s="126" t="str">
        <f>IF(NOT(ISBLANK(HostBuild[[#This Row],[Product 
(Acronym)]])),CONCATENATE(HostBuild[[#This Row],[Type]],"-",HostBuild[[#This Row],[Product 
(Acronym)]]),"")</f>
        <v>AP-CBOL</v>
      </c>
      <c r="AA147" s="106"/>
      <c r="AB147" s="106" t="s">
        <v>76</v>
      </c>
      <c r="AC147" s="41"/>
      <c r="AD147" s="42"/>
      <c r="AE147" s="42"/>
      <c r="AF147" s="43"/>
      <c r="AG147" s="124"/>
      <c r="AH147" s="107"/>
      <c r="AI147" s="124" t="s">
        <v>215</v>
      </c>
      <c r="AJ147" s="123">
        <f>IF(COUNTIF(HostBuild[Alias],HostBuild[Alias]),1/COUNTIF(HostBuild[Alias],HostBuild[Alias]),0)</f>
        <v>1</v>
      </c>
      <c r="AK147" s="124"/>
      <c r="AL147" s="124"/>
      <c r="AM147" s="44" t="s">
        <v>62</v>
      </c>
      <c r="AN147" s="45" t="str">
        <f>IF(NOT(ISBLANK(HostBuild[Server Model])),VLOOKUP(HostBuild[Server Model],[1]!ServerModelsTier[#Data],2,FALSE),"")</f>
        <v>x86 Tier 3</v>
      </c>
      <c r="AO147" s="45" t="str">
        <f>IF(NOT(ISBLANK(HostBuild[Server Model])),VLOOKUP(HostBuild[Server Model],[1]!ServerModelsTier[#Data],5,FALSE),"")</f>
        <v>x86</v>
      </c>
      <c r="AP147" s="44"/>
      <c r="AQ147" s="44" t="s">
        <v>63</v>
      </c>
      <c r="AR147" s="46">
        <v>2</v>
      </c>
      <c r="AS147" s="108"/>
      <c r="AT147" s="47">
        <v>16</v>
      </c>
      <c r="AU147" s="109" t="str">
        <f>IF(IFERROR(FIND("P-Series",HostBuild[Server Tier]),0),CEILING((HostBuild[Existing CPUs]+HostBuild[CPU])*16,8),"")</f>
        <v/>
      </c>
      <c r="AV147" s="48">
        <v>128</v>
      </c>
      <c r="AW147" s="124"/>
      <c r="AX147" s="124"/>
      <c r="AY147" s="124"/>
      <c r="AZ147" s="49"/>
      <c r="BA147" s="124"/>
      <c r="BB147" s="124"/>
      <c r="BC147" s="42"/>
      <c r="BD147" s="124"/>
      <c r="BE147" s="124"/>
      <c r="BF147" s="124"/>
      <c r="BG147" s="124"/>
      <c r="BH147" s="124"/>
      <c r="BI147" s="124"/>
      <c r="BJ147" s="124"/>
      <c r="BK147"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47" s="127">
        <v>800</v>
      </c>
      <c r="BM147" s="129">
        <f>IF(ISNUMBER(HostBuild[Recommended SAN (GB)]),HostBuild[Recommended SAN (GB)])+IF(HostBuild[Additional SAN (GB)]&gt;0,CEILING(HostBuild[Additional SAN (GB)],LUN),-(CEILING(-HostBuild[Additional SAN (GB)],LUN)))</f>
        <v>1011.0000000000001</v>
      </c>
      <c r="BN147" s="128"/>
      <c r="BO147" s="129">
        <f>HostBuild[SAN (GB)
NEEDED TODAY]+CEILING(HostBuild[SAN (GB)
RESERVED
DO NOT USE TO BUILD], LUN)</f>
        <v>1011.0000000000001</v>
      </c>
      <c r="BP147" s="130"/>
      <c r="BQ147" s="131"/>
      <c r="BR147" s="125" t="s">
        <v>76</v>
      </c>
      <c r="BS147" s="110">
        <f>IF(HostBuild[Existing Server?]&lt;&gt;"Yes - Inside this BoM",IF(ISNUMBER(HostBuild[RAM 
(GB)]),IF(HostBuild[Existing RAM (GB)]+HostBuild[RAM 
(GB)]&gt;0,IF(HostBuild[Virtual Platform Storage Type]="NAS",110+HostBuild[Existing RAM (GB)]+HostBuild[RAM 
(GB)]*1.75,0),0),0),0)</f>
        <v>0</v>
      </c>
      <c r="BT147" s="111"/>
      <c r="BU147" s="112">
        <f>IF(ISNUMBER(HostBuild[Recommended NAS (GB)]),HostBuild[Recommended NAS (GB)])+HostBuild[Additional NAS (GB)]</f>
        <v>0</v>
      </c>
      <c r="BV147" s="50"/>
      <c r="BW147" s="50"/>
      <c r="BX147" s="133">
        <f>IFERROR((HostBuild[SAN (GB)
End-State
DO NOT USE TO BUILD]+HostBuild[SAN (GB) Shared])*25%,"")</f>
        <v>252.75000000000003</v>
      </c>
      <c r="BY147" s="113">
        <f>IFERROR(HostBuild[Archive
Full (GB)]*15%,"")</f>
        <v>37.912500000000001</v>
      </c>
      <c r="BZ147" s="51"/>
      <c r="CA147" s="51"/>
      <c r="CB147" s="52"/>
      <c r="CC147" s="53"/>
      <c r="CD147" s="52"/>
      <c r="CE147" s="54"/>
      <c r="CF147" s="128"/>
      <c r="CG147" s="114"/>
      <c r="CH147" s="55"/>
      <c r="CI147" s="56"/>
      <c r="CJ147" s="57"/>
      <c r="CK147" s="58"/>
      <c r="CL147" s="59">
        <f>IFERROR(IF(FIND(CL$1,$W147)&gt;0,IF(INDEX([1]!Product_Pricing_Table[#Data],MATCH(CL$1,Products,0),2)="Cores",IF(HostBuild[Use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7" s="59">
        <f>IFERROR(IF(FIND(CM$1,$W147)&gt;0,IF(INDEX([1]!Product_Pricing_Table[#Data],MATCH(CM$1,Products,0),2)="Cores",IF(HostBuild[Use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7" s="59">
        <f>IFERROR(IF(FIND(CN$1,$W147)&gt;0,IF(INDEX([1]!Product_Pricing_Table[#Data],MATCH(CN$1,Products,0),2)="Cores",IF(HostBuild[Use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7" s="59">
        <f>IFERROR(IF(FIND(CO$1,$W147)&gt;0,IF(INDEX([1]!Product_Pricing_Table[#Data],MATCH(CO$1,Products,0),2)="Cores",IF(HostBuild[Use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7" s="59">
        <f>IFERROR(IF(FIND(CP$1,$W147)&gt;0,IF(INDEX([1]!Product_Pricing_Table[#Data],MATCH(CP$1,Products,0),2)="Cores",IF(HostBuild[Use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7" s="59">
        <f>IFERROR(IF(FIND(CQ$1,$W147)&gt;0,IF(INDEX([1]!Product_Pricing_Table[#Data],MATCH(CQ$1,Products,0),2)="Cores",IF(HostBuild[Use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7" s="59">
        <f>IFERROR(IF(FIND(CR$1,$W147)&gt;0,IF(INDEX([1]!Product_Pricing_Table[#Data],MATCH(CR$1,Products,0),2)="Cores",IF(HostBuild[Use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7" s="59">
        <f>IFERROR(IF(FIND(CS$1,$W147)&gt;0,IF(INDEX([1]!Product_Pricing_Table[#Data],MATCH(CS$1,Products,0),2)="Cores",IF(HostBuild[Use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7" s="59">
        <f>IFERROR(IF(FIND(CT$1,$W147)&gt;0,IF(INDEX([1]!Product_Pricing_Table[#Data],MATCH(CT$1,Products,0),2)="Cores",IF(HostBuild[Use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7" s="59">
        <f>IFERROR(IF(FIND(CU$1,$W147)&gt;0,IF(INDEX([1]!Product_Pricing_Table[#Data],MATCH(CU$1,Products,0),2)="Cores",IF(HostBuild[Use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7" s="59">
        <f>IFERROR(IF(FIND(CV$1,$W147)&gt;0,IF(INDEX([1]!Product_Pricing_Table[#Data],MATCH(CV$1,Products,0),2)="Cores",IF(HostBuild[Use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7" s="59">
        <f>IFERROR(IF(FIND(CW$1,$W147)&gt;0,IF(INDEX([1]!Product_Pricing_Table[#Data],MATCH(CW$1,Products,0),2)="Cores",IF(HostBuild[Use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7" s="59">
        <f>IFERROR(IF(FIND(CX$1,$W147)&gt;0,IF(INDEX([1]!Product_Pricing_Table[#Data],MATCH(CX$1,Products,0),2)="Cores",IF(HostBuild[Use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7" s="59">
        <f>IFERROR(IF(FIND(CY$1,$W147)&gt;0,IF(INDEX([1]!Product_Pricing_Table[#Data],MATCH(CY$1,Products,0),2)="Cores",IF(HostBuild[Use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7" s="59">
        <f>IFERROR(IF(FIND(CZ$1,$W147)&gt;0,IF(INDEX([1]!Product_Pricing_Table[#Data],MATCH(CZ$1,Products,0),2)="Cores",IF(HostBuild[Use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7" s="59">
        <f>IFERROR(IF(FIND(DA$1,$W147)&gt;0,IF(INDEX([1]!Product_Pricing_Table[#Data],MATCH(DA$1,Products,0),2)="Cores",IF(HostBuild[Use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7" s="59">
        <f>IFERROR(IF(FIND(DB$1,$W147)&gt;0,IF(INDEX([1]!Product_Pricing_Table[#Data],MATCH(DB$1,Products,0),2)="Cores",IF(HostBuild[Use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7" s="59">
        <f>IFERROR(IF(FIND(DC$1,$W147)&gt;0,IF(INDEX([1]!Product_Pricing_Table[#Data],MATCH(DC$1,Products,0),2)="Cores",IF(HostBuild[Use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7" s="59">
        <f>IFERROR(IF(FIND(DD$1,$W147)&gt;0,IF(INDEX([1]!Product_Pricing_Table[#Data],MATCH(DD$1,Products,0),2)="Cores",IF(HostBuild[Use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7" s="59">
        <f>IFERROR(IF(FIND(DE$1,$W147)&gt;0,IF(INDEX([1]!Product_Pricing_Table[#Data],MATCH(DE$1,Products,0),2)="Cores",IF(HostBuild[Use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7" s="60">
        <f>IFERROR(IF(FIND(DF$1,$W147)&gt;0,IF(INDEX([1]!Product_Pricing_Table[#Data],MATCH(DF$1,Products,0),2)="Cores",IF(HostBuild[Use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7" s="60">
        <f>IFERROR(IF(FIND(DG$1,$W147)&gt;0,IF(INDEX([1]!Product_Pricing_Table[#Data],MATCH(DG$1,Products,0),2)="Cores",IF(HostBuild[Use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7" s="59">
        <f>IFERROR(IF(FIND(DH$1,$W147)&gt;0,IF(INDEX([1]!Product_Pricing_Table[#Data],MATCH(DH$1,Products,0),2)="Cores",IF(HostBuild[Use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7" s="60">
        <f>IFERROR(IF(FIND(DI$1,$W147)&gt;0,IF(INDEX([1]!Product_Pricing_Table[#Data],MATCH(DI$1,Products,0),2)="Cores",IF(HostBuild[Use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7" s="59">
        <f>IFERROR(IF(FIND(DJ$1,$W147)&gt;0,IF(INDEX([1]!Product_Pricing_Table[#Data],MATCH(DJ$1,Products,0),2)="Cores",IF(HostBuild[Use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7" s="59">
        <f>IFERROR(IF(FIND(DK$1,$W147)&gt;0,IF(INDEX([1]!Product_Pricing_Table[#Data],MATCH(DK$1,Products,0),2)="Cores",IF(HostBuild[Use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7" s="59">
        <f>IFERROR(IF(FIND(DL$1,$W147)&gt;0,IF(INDEX([1]!Product_Pricing_Table[#Data],MATCH(DL$1,Products,0),2)="Cores",IF(HostBuild[Use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7" s="59">
        <f>IFERROR(IF(FIND(DM$1,$W147)&gt;0,IF(INDEX([1]!Product_Pricing_Table[#Data],MATCH(DM$1,Products,0),2)="Cores",IF(HostBuild[Use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7" s="59">
        <f>IFERROR(IF(FIND(DN$1,$W147)&gt;0,IF(INDEX([1]!Product_Pricing_Table[#Data],MATCH(DN$1,Products,0),2)="Cores",IF(HostBuild[Use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7" s="59">
        <f>IFERROR(IF(FIND(DO$1,$W147)&gt;0,IF(INDEX([1]!Product_Pricing_Table[#Data],MATCH(DO$1,Products,0),2)="Cores",IF(HostBuild[Use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7" s="59">
        <f>IFERROR(IF(FIND(DP$1,$W147)&gt;0,IF(INDEX([1]!Product_Pricing_Table[#Data],MATCH(DP$1,Products,0),2)="Cores",IF(HostBuild[Use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7" s="59">
        <f>IFERROR(IF(FIND(DQ$1,$W147)&gt;0,IF(INDEX([1]!Product_Pricing_Table[#Data],MATCH(DQ$1,Products,0),2)="Cores",IF(HostBuild[Use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7" s="59">
        <f>IFERROR(IF(FIND(DR$1,$W147)&gt;0,IF(INDEX([1]!Product_Pricing_Table[#Data],MATCH(DR$1,Products,0),2)="Cores",IF(HostBuild[Use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7" s="59">
        <f>IFERROR(IF(FIND(DS$1,$W147)&gt;0,IF(INDEX([1]!Product_Pricing_Table[#Data],MATCH(DS$1,Products,0),2)="Cores",IF(HostBuild[Use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7" s="59">
        <f>IFERROR(IF(FIND(DT$1,$W147)&gt;0,IF(INDEX([1]!Product_Pricing_Table[#Data],MATCH(DT$1,Products,0),2)="Cores",IF(HostBuild[Use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7" s="59">
        <f>IFERROR(IF(FIND(DU$1,$W147)&gt;0,IF(INDEX([1]!Product_Pricing_Table[#Data],MATCH(DU$1,Products,0),2)="Cores",IF(HostBuild[Use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7" s="59">
        <f>IFERROR(IF(FIND(DV$1,$W147)&gt;0,IF(INDEX([1]!Product_Pricing_Table[#Data],MATCH(DV$1,Products,0),2)="Cores",IF(HostBuild[Use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7" s="59">
        <f>IFERROR(IF(FIND(DW$1,$W147)&gt;0,IF(INDEX([1]!Product_Pricing_Table[#Data],MATCH(DW$1,Products,0),2)="Cores",IF(HostBuild[Use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7" s="59">
        <f>IFERROR(IF(FIND(DX$1,$W147)&gt;0,IF(INDEX([1]!Product_Pricing_Table[#Data],MATCH(DX$1,Products,0),2)="Cores",IF(HostBuild[Use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7" s="59">
        <f>IFERROR(IF(FIND(DY$1,$W147)&gt;0,IF(INDEX([1]!Product_Pricing_Table[#Data],MATCH(DY$1,Products,0),2)="Cores",IF(HostBuild[Use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7" s="59">
        <f>IFERROR(IF(FIND(DZ$1,$W147)&gt;0,IF(INDEX([1]!Product_Pricing_Table[#Data],MATCH(DZ$1,Products,0),2)="Cores",IF(HostBuild[Use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7" s="59">
        <f>IFERROR(IF(FIND(EA$1,$W147)&gt;0,IF(INDEX([1]!Product_Pricing_Table[#Data],MATCH(EA$1,Products,0),2)="Cores",IF(HostBuild[Use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7" s="59">
        <f>IFERROR(IF(FIND(EB$1,$W147)&gt;0,IF(INDEX([1]!Product_Pricing_Table[#Data],MATCH(EB$1,Products,0),2)="Cores",IF(HostBuild[Use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7" s="60">
        <f>IFERROR(IF(FIND(EC$1,$W147)&gt;0,IF(INDEX([1]!Product_Pricing_Table[#Data],MATCH(EC$1,Products,0),2)="Cores",IF(HostBuild[Use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7" s="59">
        <f>IFERROR(IF(FIND(ED$1,$W147)&gt;0,IF(INDEX([1]!Product_Pricing_Table[#Data],MATCH(ED$1,Products,0),2)="Cores",IF(HostBuild[Use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7" s="59">
        <f>IFERROR(IF(FIND(EE$1,$W147)&gt;0,IF(INDEX([1]!Product_Pricing_Table[#Data],MATCH(EE$1,Products,0),2)="Cores",IF(HostBuild[Use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7" s="59">
        <f>IFERROR(IF(FIND(EF$1,$W147)&gt;0,IF(INDEX([1]!Product_Pricing_Table[#Data],MATCH(EF$1,Products,0),2)="Cores",IF(HostBuild[Use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7" s="59">
        <f>IFERROR(IF(FIND(EG$1,$W147)&gt;0,IF(INDEX([1]!Product_Pricing_Table[#Data],MATCH(EG$1,Products,0),2)="Cores",IF(HostBuild[Use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7" s="59">
        <f>IFERROR(IF(FIND(EH$1,$W147)&gt;0,IF(INDEX([1]!Product_Pricing_Table[#Data],MATCH(EH$1,Products,0),2)="Cores",IF(HostBuild[Use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7" s="59">
        <f>IFERROR(IF(FIND(EI$1,$W147)&gt;0,IF(INDEX([1]!Product_Pricing_Table[#Data],MATCH(EI$1,Products,0),2)="Cores",IF(HostBuild[Use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7" s="59">
        <f>IFERROR(IF(FIND(EJ$1,$W147)&gt;0,IF(INDEX([1]!Product_Pricing_Table[#Data],MATCH(EJ$1,Products,0),2)="Cores",IF(HostBuild[Use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7" s="60">
        <f>IFERROR(IF(FIND(EK$1,$W147)&gt;0,IF(INDEX([1]!Product_Pricing_Table[#Data],MATCH(EK$1,Products,0),2)="Cores",IF(HostBuild[Use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7" s="61"/>
      <c r="EM147" s="62">
        <v>0</v>
      </c>
      <c r="EN147" s="63">
        <v>0</v>
      </c>
      <c r="EO147"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4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454.95000000000005</v>
      </c>
      <c r="EQ147" s="132">
        <f>(HostBuild[Archive
Full (GB)]+HostBuild[Archive
Incr (GB)])*Storage_DC_Dist_Tape_2014</f>
        <v>101.731875</v>
      </c>
      <c r="ER147" s="132">
        <f>IF(ISNUMBER(HostBuild[Server HW Costs
(Monthly)]),SUM(HostBuild[[#This Row],[Server HW Costs
(Monthly)]:[Tape Costs
(Monthly)]]),0)</f>
        <v>1445.381875</v>
      </c>
      <c r="ES147" s="65">
        <f>HostBuild[Software Costs
'[Year 1']
(Monthly)]+HostBuild[Total Hardware Costs
(Monthly)]</f>
        <v>1445.381875</v>
      </c>
      <c r="ET147" s="65">
        <f>IFERROR(IF(FIND("Safenet",HostBuild[Server Model]),Safenet_PSE_PL600_Maint,0),0)+IFERROR(IF(FIND("XI52",HostBuild[Server Model]),IBM_DIA_XI52_Maint,0),0)+HostBuild[Software Costs
'[After Year 1']
(Monthly)]+HostBuild[Total Hardware Costs
(Monthly)]</f>
        <v>1445.381875</v>
      </c>
      <c r="EU147" s="66">
        <f>SUM(HostBuild[[#This Row],[Server Cost Breakdown]:[Network Cost]])</f>
        <v>888.7</v>
      </c>
      <c r="EV147" s="67">
        <f>IF(HostBuild[Existing Server?]="Yes - Inside this BoM",0,SUMIF(HostBuild[Alias],HostBuild[Alias],HostBuild[CPU])+SUMIF(HostBuild[Alias],HostBuild[Alias],HostBuild[Existing CPUs]))</f>
        <v>2</v>
      </c>
      <c r="EW147" s="67">
        <f>IF(HostBuild[Existing Server?]="Yes - Inside this BoM",0,SUMIF(HostBuild[Alias],HostBuild[Alias],HostBuild[Cores 
(Licensed Units)])+SUMIF(HostBuild[Alias],HostBuild[Alias],HostBuild[Existing Cores]))</f>
        <v>16</v>
      </c>
      <c r="EX147" s="67">
        <f>IF(HostBuild[Existing Server?]="Yes - Inside this BoM",0,SUMIF(HostBuild[Alias],HostBuild[Alias],HostBuild[RAM 
(GB)])+SUMIF(HostBuild[Alias],HostBuild[Alias],HostBuild[Existing RAM (GB)]))</f>
        <v>128</v>
      </c>
      <c r="EY14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7" s="66">
        <f>IF(ISBLANK(HostBuild[Server Model]),0,IF(HostBuild[Server Tier]="VMware",0,VLOOKUP(HostBuild[Server Tier],[1]!ServerTierRates[#Data],2,0))*HostBuild[CPU]*IF(AND(HostBuild[Server Type]="pSeries",HostBuild[Virtual Platform Storage Type]="Cloud-SAN"),0.25,1))</f>
        <v>608</v>
      </c>
      <c r="FD147" s="66">
        <f>0</f>
        <v>0</v>
      </c>
      <c r="FE147" s="66">
        <f>IF(HostBuild[Server Type]="VMware",HostBuild[RAM 
(GB)]*IF(ISERROR(FIND("DevCloud", HostBuild[Server Model])&gt;0),vRAM_per_vCPU_2014_Monthly,vRAM_per_vCPU_2014_Daily*30),0)</f>
        <v>0</v>
      </c>
      <c r="FF14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4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7" s="69">
        <f>IF(HostBuild[Server Tier]="VMware",0,IF(LEFT(HostBuild[Existing Server?],3)="Yes",0,IF(OR(HostBuild[Server Type]="Sun",HostBuild[Server Type]="pSeries"),Support_Direct_Server_Sun_per_OS_2014,IF(HostBuild[Server Type]="x86",Support_Direct_Server_x86_Wintel_per_OS_2014,0))))</f>
        <v>187.1</v>
      </c>
      <c r="FI14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8" spans="1:165">
      <c r="A148" s="122" t="s">
        <v>53</v>
      </c>
      <c r="B148" s="36"/>
      <c r="C148" s="36"/>
      <c r="D148" s="36"/>
      <c r="E148" s="37"/>
      <c r="F148" s="37"/>
      <c r="G148" s="103"/>
      <c r="H148" s="103"/>
      <c r="I148" s="38"/>
      <c r="J148" s="37"/>
      <c r="K148" s="37"/>
      <c r="L148" s="37"/>
      <c r="M148" s="103" t="e">
        <f ca="1">IF(rngIsDate(HostBuild[CTO Acceptance]),"Y","N")</f>
        <v>#NAME?</v>
      </c>
      <c r="N148" s="123" t="s">
        <v>181</v>
      </c>
      <c r="O148" s="39"/>
      <c r="P148" s="39"/>
      <c r="Q148" s="123" t="s">
        <v>50</v>
      </c>
      <c r="R148" s="126" t="str">
        <f>IF(NOT(ISBLANK(HostBuild[Env Label])),IFERROR(VLOOKUP(HostBuild[Env Label],[1]!tEnv[#Data],3,FALSE),""),"")</f>
        <v/>
      </c>
      <c r="S148" s="104"/>
      <c r="T148" s="40"/>
      <c r="U148" s="105"/>
      <c r="V148" s="123" t="s">
        <v>51</v>
      </c>
      <c r="W148" s="123" t="s">
        <v>26</v>
      </c>
      <c r="X148" s="123" t="s">
        <v>99</v>
      </c>
      <c r="Y148" s="123" t="s">
        <v>188</v>
      </c>
      <c r="Z148" s="126" t="str">
        <f>IF(NOT(ISBLANK(HostBuild[[#This Row],[Product 
(Acronym)]])),CONCATENATE(HostBuild[[#This Row],[Type]],"-",HostBuild[[#This Row],[Product 
(Acronym)]]),"")</f>
        <v>DB-CBOL</v>
      </c>
      <c r="AA148" s="106"/>
      <c r="AB148" s="106" t="s">
        <v>76</v>
      </c>
      <c r="AC148" s="41"/>
      <c r="AD148" s="42"/>
      <c r="AE148" s="42"/>
      <c r="AF148" s="43"/>
      <c r="AG148" s="124"/>
      <c r="AH148" s="107"/>
      <c r="AI148" s="124" t="s">
        <v>216</v>
      </c>
      <c r="AJ148" s="123">
        <f>IF(COUNTIF(HostBuild[Alias],HostBuild[Alias]),1/COUNTIF(HostBuild[Alias],HostBuild[Alias]),0)</f>
        <v>1</v>
      </c>
      <c r="AK148" s="124"/>
      <c r="AL148" s="124"/>
      <c r="AM148" s="44" t="s">
        <v>62</v>
      </c>
      <c r="AN148" s="45" t="str">
        <f>IF(NOT(ISBLANK(HostBuild[Server Model])),VLOOKUP(HostBuild[Server Model],[1]!ServerModelsTier[#Data],2,FALSE),"")</f>
        <v>x86 Tier 3</v>
      </c>
      <c r="AO148" s="45" t="str">
        <f>IF(NOT(ISBLANK(HostBuild[Server Model])),VLOOKUP(HostBuild[Server Model],[1]!ServerModelsTier[#Data],5,FALSE),"")</f>
        <v>x86</v>
      </c>
      <c r="AP148" s="44"/>
      <c r="AQ148" s="44" t="s">
        <v>63</v>
      </c>
      <c r="AR148" s="46">
        <v>2</v>
      </c>
      <c r="AS148" s="108"/>
      <c r="AT148" s="47">
        <v>16</v>
      </c>
      <c r="AU148" s="109"/>
      <c r="AV148" s="48">
        <v>128</v>
      </c>
      <c r="AW148" s="124"/>
      <c r="AX148" s="124"/>
      <c r="AY148" s="124"/>
      <c r="AZ148" s="49"/>
      <c r="BA148" s="124"/>
      <c r="BB148" s="124"/>
      <c r="BC148" s="42"/>
      <c r="BD148" s="124"/>
      <c r="BE148" s="124"/>
      <c r="BF148" s="124"/>
      <c r="BG148" s="124"/>
      <c r="BH148" s="124"/>
      <c r="BI148" s="124"/>
      <c r="BJ148" s="124"/>
      <c r="BK148" s="133">
        <f>IF(HostBuild[Existing Server?]&lt;&gt;"Yes - Inside this BoM",IF(ISNUMBER(HostBuild[RAM 
(GB)]),IF(HostBuild[Existing RAM (GB)]+HostBuild[RAM 
(GB)]&gt;0,IF(OR(HostBuild[Server Type]="x86",IFERROR(FIND("SAN", HostBuild[Virtual Platform Storage Type]),FALSE)),CEILING(2*LUN+(HostBuild[Existing RAM (GB)]+HostBuild[RAM 
(GB)]),LUN),0),0),0),0)</f>
        <v>202.20000000000002</v>
      </c>
      <c r="BL148" s="127">
        <v>1500</v>
      </c>
      <c r="BM148" s="129">
        <f>IF(ISNUMBER(HostBuild[Recommended SAN (GB)]),HostBuild[Recommended SAN (GB)])+IF(HostBuild[Additional SAN (GB)]&gt;0,CEILING(HostBuild[Additional SAN (GB)],LUN),-(CEILING(-HostBuild[Additional SAN (GB)],LUN)))</f>
        <v>1718.7000000000003</v>
      </c>
      <c r="BN148" s="128"/>
      <c r="BO148" s="129">
        <f>HostBuild[SAN (GB)
NEEDED TODAY]+CEILING(HostBuild[SAN (GB)
RESERVED
DO NOT USE TO BUILD], LUN)</f>
        <v>1718.7000000000003</v>
      </c>
      <c r="BP148" s="130"/>
      <c r="BQ148" s="131"/>
      <c r="BR148" s="125" t="s">
        <v>76</v>
      </c>
      <c r="BS148" s="110">
        <f>IF(HostBuild[Existing Server?]&lt;&gt;"Yes - Inside this BoM",IF(ISNUMBER(HostBuild[RAM 
(GB)]),IF(HostBuild[Existing RAM (GB)]+HostBuild[RAM 
(GB)]&gt;0,IF(HostBuild[Virtual Platform Storage Type]="NAS",110+HostBuild[Existing RAM (GB)]+HostBuild[RAM 
(GB)]*1.75,0),0),0),0)</f>
        <v>0</v>
      </c>
      <c r="BT148" s="111"/>
      <c r="BU148" s="112">
        <f>IF(ISNUMBER(HostBuild[Recommended NAS (GB)]),HostBuild[Recommended NAS (GB)])+HostBuild[Additional NAS (GB)]</f>
        <v>0</v>
      </c>
      <c r="BV148" s="50"/>
      <c r="BW148" s="50"/>
      <c r="BX148" s="133">
        <f>IFERROR((HostBuild[SAN (GB)
End-State
DO NOT USE TO BUILD]+HostBuild[SAN (GB) Shared])*25%,"")</f>
        <v>429.67500000000007</v>
      </c>
      <c r="BY148" s="113">
        <f>IFERROR(HostBuild[Archive
Full (GB)]*15%,"")</f>
        <v>64.451250000000002</v>
      </c>
      <c r="BZ148" s="51"/>
      <c r="CA148" s="51"/>
      <c r="CB148" s="52"/>
      <c r="CC148" s="53"/>
      <c r="CD148" s="52"/>
      <c r="CE148" s="54"/>
      <c r="CF148" s="128"/>
      <c r="CG148" s="114"/>
      <c r="CH148" s="55"/>
      <c r="CI148" s="56"/>
      <c r="CJ148" s="57"/>
      <c r="CK148" s="58"/>
      <c r="CL148" s="59">
        <f>IFERROR(IF(FIND(CL$1,$W148)&gt;0,IF(INDEX([1]!Product_Pricing_Table[#Data],MATCH(CL$1,Products,0),2)="Cores",IF(HostBuild[Use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8" s="59">
        <f>IFERROR(IF(FIND(CM$1,$W148)&gt;0,IF(INDEX([1]!Product_Pricing_Table[#Data],MATCH(CM$1,Products,0),2)="Cores",IF(HostBuild[Use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8" s="59">
        <f>IFERROR(IF(FIND(CN$1,$W148)&gt;0,IF(INDEX([1]!Product_Pricing_Table[#Data],MATCH(CN$1,Products,0),2)="Cores",IF(HostBuild[Use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8" s="59">
        <f>IFERROR(IF(FIND(CO$1,$W148)&gt;0,IF(INDEX([1]!Product_Pricing_Table[#Data],MATCH(CO$1,Products,0),2)="Cores",IF(HostBuild[Use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8" s="59">
        <f>IFERROR(IF(FIND(CP$1,$W148)&gt;0,IF(INDEX([1]!Product_Pricing_Table[#Data],MATCH(CP$1,Products,0),2)="Cores",IF(HostBuild[Use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8" s="59">
        <f>IFERROR(IF(FIND(CQ$1,$W148)&gt;0,IF(INDEX([1]!Product_Pricing_Table[#Data],MATCH(CQ$1,Products,0),2)="Cores",IF(HostBuild[Use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8" s="59">
        <f>IFERROR(IF(FIND(CR$1,$W148)&gt;0,IF(INDEX([1]!Product_Pricing_Table[#Data],MATCH(CR$1,Products,0),2)="Cores",IF(HostBuild[Use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8" s="59">
        <f>IFERROR(IF(FIND(CS$1,$W148)&gt;0,IF(INDEX([1]!Product_Pricing_Table[#Data],MATCH(CS$1,Products,0),2)="Cores",IF(HostBuild[Use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8" s="59">
        <f>IFERROR(IF(FIND(CT$1,$W148)&gt;0,IF(INDEX([1]!Product_Pricing_Table[#Data],MATCH(CT$1,Products,0),2)="Cores",IF(HostBuild[Use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8" s="59">
        <f>IFERROR(IF(FIND(CU$1,$W148)&gt;0,IF(INDEX([1]!Product_Pricing_Table[#Data],MATCH(CU$1,Products,0),2)="Cores",IF(HostBuild[Use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8" s="59">
        <f>IFERROR(IF(FIND(CV$1,$W148)&gt;0,IF(INDEX([1]!Product_Pricing_Table[#Data],MATCH(CV$1,Products,0),2)="Cores",IF(HostBuild[Use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8" s="59">
        <f>IFERROR(IF(FIND(CW$1,$W148)&gt;0,IF(INDEX([1]!Product_Pricing_Table[#Data],MATCH(CW$1,Products,0),2)="Cores",IF(HostBuild[Use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8" s="59">
        <f>IFERROR(IF(FIND(CX$1,$W148)&gt;0,IF(INDEX([1]!Product_Pricing_Table[#Data],MATCH(CX$1,Products,0),2)="Cores",IF(HostBuild[Use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8" s="59">
        <f>IFERROR(IF(FIND(CY$1,$W148)&gt;0,IF(INDEX([1]!Product_Pricing_Table[#Data],MATCH(CY$1,Products,0),2)="Cores",IF(HostBuild[Use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8" s="59">
        <f>IFERROR(IF(FIND(CZ$1,$W148)&gt;0,IF(INDEX([1]!Product_Pricing_Table[#Data],MATCH(CZ$1,Products,0),2)="Cores",IF(HostBuild[Use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8" s="59">
        <f>IFERROR(IF(FIND(DA$1,$W148)&gt;0,IF(INDEX([1]!Product_Pricing_Table[#Data],MATCH(DA$1,Products,0),2)="Cores",IF(HostBuild[Use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8" s="59">
        <f>IFERROR(IF(FIND(DB$1,$W148)&gt;0,IF(INDEX([1]!Product_Pricing_Table[#Data],MATCH(DB$1,Products,0),2)="Cores",IF(HostBuild[Use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8" s="59">
        <f>IFERROR(IF(FIND(DC$1,$W148)&gt;0,IF(INDEX([1]!Product_Pricing_Table[#Data],MATCH(DC$1,Products,0),2)="Cores",IF(HostBuild[Use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8" s="59">
        <f>IFERROR(IF(FIND(DD$1,$W148)&gt;0,IF(INDEX([1]!Product_Pricing_Table[#Data],MATCH(DD$1,Products,0),2)="Cores",IF(HostBuild[Use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8" s="59">
        <f>IFERROR(IF(FIND(DE$1,$W148)&gt;0,IF(INDEX([1]!Product_Pricing_Table[#Data],MATCH(DE$1,Products,0),2)="Cores",IF(HostBuild[Use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8" s="60">
        <f>IFERROR(IF(FIND(DF$1,$W148)&gt;0,IF(INDEX([1]!Product_Pricing_Table[#Data],MATCH(DF$1,Products,0),2)="Cores",IF(HostBuild[Use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8" s="60">
        <f>IFERROR(IF(FIND(DG$1,$W148)&gt;0,IF(INDEX([1]!Product_Pricing_Table[#Data],MATCH(DG$1,Products,0),2)="Cores",IF(HostBuild[Use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8" s="59">
        <f>IFERROR(IF(FIND(DH$1,$W148)&gt;0,IF(INDEX([1]!Product_Pricing_Table[#Data],MATCH(DH$1,Products,0),2)="Cores",IF(HostBuild[Use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8" s="60">
        <f>IFERROR(IF(FIND(DI$1,$W148)&gt;0,IF(INDEX([1]!Product_Pricing_Table[#Data],MATCH(DI$1,Products,0),2)="Cores",IF(HostBuild[Use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8" s="59">
        <f>IFERROR(IF(FIND(DJ$1,$W148)&gt;0,IF(INDEX([1]!Product_Pricing_Table[#Data],MATCH(DJ$1,Products,0),2)="Cores",IF(HostBuild[Use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8" s="59">
        <f>IFERROR(IF(FIND(DK$1,$W148)&gt;0,IF(INDEX([1]!Product_Pricing_Table[#Data],MATCH(DK$1,Products,0),2)="Cores",IF(HostBuild[Use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8" s="59">
        <f>IFERROR(IF(FIND(DL$1,$W148)&gt;0,IF(INDEX([1]!Product_Pricing_Table[#Data],MATCH(DL$1,Products,0),2)="Cores",IF(HostBuild[Use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8" s="59">
        <f>IFERROR(IF(FIND(DM$1,$W148)&gt;0,IF(INDEX([1]!Product_Pricing_Table[#Data],MATCH(DM$1,Products,0),2)="Cores",IF(HostBuild[Use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8" s="59">
        <f>IFERROR(IF(FIND(DN$1,$W148)&gt;0,IF(INDEX([1]!Product_Pricing_Table[#Data],MATCH(DN$1,Products,0),2)="Cores",IF(HostBuild[Use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8" s="59">
        <f>IFERROR(IF(FIND(DO$1,$W148)&gt;0,IF(INDEX([1]!Product_Pricing_Table[#Data],MATCH(DO$1,Products,0),2)="Cores",IF(HostBuild[Use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8" s="59">
        <f>IFERROR(IF(FIND(DP$1,$W148)&gt;0,IF(INDEX([1]!Product_Pricing_Table[#Data],MATCH(DP$1,Products,0),2)="Cores",IF(HostBuild[Use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8" s="59">
        <f>IFERROR(IF(FIND(DQ$1,$W148)&gt;0,IF(INDEX([1]!Product_Pricing_Table[#Data],MATCH(DQ$1,Products,0),2)="Cores",IF(HostBuild[Use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8" s="59">
        <f>IFERROR(IF(FIND(DR$1,$W148)&gt;0,IF(INDEX([1]!Product_Pricing_Table[#Data],MATCH(DR$1,Products,0),2)="Cores",IF(HostBuild[Use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8" s="59">
        <f>IFERROR(IF(FIND(DS$1,$W148)&gt;0,IF(INDEX([1]!Product_Pricing_Table[#Data],MATCH(DS$1,Products,0),2)="Cores",IF(HostBuild[Use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8" s="59">
        <f>IFERROR(IF(FIND(DT$1,$W148)&gt;0,IF(INDEX([1]!Product_Pricing_Table[#Data],MATCH(DT$1,Products,0),2)="Cores",IF(HostBuild[Use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8" s="59">
        <f>IFERROR(IF(FIND(DU$1,$W148)&gt;0,IF(INDEX([1]!Product_Pricing_Table[#Data],MATCH(DU$1,Products,0),2)="Cores",IF(HostBuild[Use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8" s="59">
        <f>IFERROR(IF(FIND(DV$1,$W148)&gt;0,IF(INDEX([1]!Product_Pricing_Table[#Data],MATCH(DV$1,Products,0),2)="Cores",IF(HostBuild[Use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8" s="59">
        <f>IFERROR(IF(FIND(DW$1,$W148)&gt;0,IF(INDEX([1]!Product_Pricing_Table[#Data],MATCH(DW$1,Products,0),2)="Cores",IF(HostBuild[Use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8" s="59">
        <f>IFERROR(IF(FIND(DX$1,$W148)&gt;0,IF(INDEX([1]!Product_Pricing_Table[#Data],MATCH(DX$1,Products,0),2)="Cores",IF(HostBuild[Use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8" s="59">
        <f>IFERROR(IF(FIND(DY$1,$W148)&gt;0,IF(INDEX([1]!Product_Pricing_Table[#Data],MATCH(DY$1,Products,0),2)="Cores",IF(HostBuild[Use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8" s="59">
        <f>IFERROR(IF(FIND(DZ$1,$W148)&gt;0,IF(INDEX([1]!Product_Pricing_Table[#Data],MATCH(DZ$1,Products,0),2)="Cores",IF(HostBuild[Use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8" s="59">
        <f>IFERROR(IF(FIND(EA$1,$W148)&gt;0,IF(INDEX([1]!Product_Pricing_Table[#Data],MATCH(EA$1,Products,0),2)="Cores",IF(HostBuild[Use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8" s="59">
        <f>IFERROR(IF(FIND(EB$1,$W148)&gt;0,IF(INDEX([1]!Product_Pricing_Table[#Data],MATCH(EB$1,Products,0),2)="Cores",IF(HostBuild[Use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8" s="60">
        <f>IFERROR(IF(FIND(EC$1,$W148)&gt;0,IF(INDEX([1]!Product_Pricing_Table[#Data],MATCH(EC$1,Products,0),2)="Cores",IF(HostBuild[Use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8" s="59">
        <f>IFERROR(IF(FIND(ED$1,$W148)&gt;0,IF(INDEX([1]!Product_Pricing_Table[#Data],MATCH(ED$1,Products,0),2)="Cores",IF(HostBuild[Use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8" s="59">
        <f>IFERROR(IF(FIND(EE$1,$W148)&gt;0,IF(INDEX([1]!Product_Pricing_Table[#Data],MATCH(EE$1,Products,0),2)="Cores",IF(HostBuild[Use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8" s="59">
        <f>IFERROR(IF(FIND(EF$1,$W148)&gt;0,IF(INDEX([1]!Product_Pricing_Table[#Data],MATCH(EF$1,Products,0),2)="Cores",IF(HostBuild[Use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8" s="59">
        <f>IFERROR(IF(FIND(EG$1,$W148)&gt;0,IF(INDEX([1]!Product_Pricing_Table[#Data],MATCH(EG$1,Products,0),2)="Cores",IF(HostBuild[Use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8" s="59">
        <f>IFERROR(IF(FIND(EH$1,$W148)&gt;0,IF(INDEX([1]!Product_Pricing_Table[#Data],MATCH(EH$1,Products,0),2)="Cores",IF(HostBuild[Use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8" s="59">
        <f>IFERROR(IF(FIND(EI$1,$W148)&gt;0,IF(INDEX([1]!Product_Pricing_Table[#Data],MATCH(EI$1,Products,0),2)="Cores",IF(HostBuild[Use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8" s="59">
        <f>IFERROR(IF(FIND(EJ$1,$W148)&gt;0,IF(INDEX([1]!Product_Pricing_Table[#Data],MATCH(EJ$1,Products,0),2)="Cores",IF(HostBuild[Use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8" s="60">
        <f>IFERROR(IF(FIND(EK$1,$W148)&gt;0,IF(INDEX([1]!Product_Pricing_Table[#Data],MATCH(EK$1,Products,0),2)="Cores",IF(HostBuild[Use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8" s="61"/>
      <c r="EM148" s="62"/>
      <c r="EN148" s="63"/>
      <c r="EO148" s="64">
        <f>IF(OR(ISBLANK(HostBuild[Alias]),HostBuild[Server Tier]="",),0,IF(HostBuild[Server Tier]="SafeNet",Safenet_PSE_PL600+HostBuild[Network Cost],IF(HostBuild[Server Tier]="VMware",HostBuild[New VMware (Adjusted)]+HostBuild[Initial Server Cost],IF(HostBuild[Server Tier]="XI52",IBM_DIA_XI52,HostBuild[Initial Server Cost]))))</f>
        <v>888.7</v>
      </c>
      <c r="EP14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773.41500000000019</v>
      </c>
      <c r="EQ148" s="132">
        <f>(HostBuild[Archive
Full (GB)]+HostBuild[Archive
Incr (GB)])*Storage_DC_Dist_Tape_2014</f>
        <v>172.94418750000003</v>
      </c>
      <c r="ER148" s="132">
        <f>IF(ISNUMBER(HostBuild[Server HW Costs
(Monthly)]),SUM(HostBuild[[#This Row],[Server HW Costs
(Monthly)]:[Tape Costs
(Monthly)]]),0)</f>
        <v>1835.0591875000002</v>
      </c>
      <c r="ES148" s="65">
        <f>HostBuild[Software Costs
'[Year 1']
(Monthly)]+HostBuild[Total Hardware Costs
(Monthly)]</f>
        <v>1835.0591875000002</v>
      </c>
      <c r="ET148" s="65">
        <f>IFERROR(IF(FIND("Safenet",HostBuild[Server Model]),Safenet_PSE_PL600_Maint,0),0)+IFERROR(IF(FIND("XI52",HostBuild[Server Model]),IBM_DIA_XI52_Maint,0),0)+HostBuild[Software Costs
'[After Year 1']
(Monthly)]+HostBuild[Total Hardware Costs
(Monthly)]</f>
        <v>1835.0591875000002</v>
      </c>
      <c r="EU148" s="66">
        <f>SUM(HostBuild[[#This Row],[Server Cost Breakdown]:[Network Cost]])</f>
        <v>888.7</v>
      </c>
      <c r="EV148" s="67">
        <f>IF(HostBuild[Existing Server?]="Yes - Inside this BoM",0,SUMIF(HostBuild[Alias],HostBuild[Alias],HostBuild[CPU])+SUMIF(HostBuild[Alias],HostBuild[Alias],HostBuild[Existing CPUs]))</f>
        <v>2</v>
      </c>
      <c r="EW148" s="67">
        <f>IF(HostBuild[Existing Server?]="Yes - Inside this BoM",0,SUMIF(HostBuild[Alias],HostBuild[Alias],HostBuild[Cores 
(Licensed Units)])+SUMIF(HostBuild[Alias],HostBuild[Alias],HostBuild[Existing Cores]))</f>
        <v>16</v>
      </c>
      <c r="EX148" s="67">
        <f>IF(HostBuild[Existing Server?]="Yes - Inside this BoM",0,SUMIF(HostBuild[Alias],HostBuild[Alias],HostBuild[RAM 
(GB)])+SUMIF(HostBuild[Alias],HostBuild[Alias],HostBuild[Existing RAM (GB)]))</f>
        <v>128</v>
      </c>
      <c r="EY14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8" s="66">
        <f>IF(ISBLANK(HostBuild[Server Model]),0,IF(HostBuild[Server Tier]="VMware",0,VLOOKUP(HostBuild[Server Tier],[1]!ServerTierRates[#Data],2,0))*HostBuild[CPU]*IF(AND(HostBuild[Server Type]="pSeries",HostBuild[Virtual Platform Storage Type]="Cloud-SAN"),0.25,1))</f>
        <v>608</v>
      </c>
      <c r="FD148" s="66">
        <f>0</f>
        <v>0</v>
      </c>
      <c r="FE148" s="66">
        <f>IF(HostBuild[Server Type]="VMware",HostBuild[RAM 
(GB)]*IF(ISERROR(FIND("DevCloud", HostBuild[Server Model])&gt;0),vRAM_per_vCPU_2014_Monthly,vRAM_per_vCPU_2014_Daily*30),0)</f>
        <v>0</v>
      </c>
      <c r="FF14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93.600000000000009</v>
      </c>
      <c r="FG14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8" s="69">
        <f>IF(HostBuild[Server Tier]="VMware",0,IF(LEFT(HostBuild[Existing Server?],3)="Yes",0,IF(OR(HostBuild[Server Type]="Sun",HostBuild[Server Type]="pSeries"),Support_Direct_Server_Sun_per_OS_2014,IF(HostBuild[Server Type]="x86",Support_Direct_Server_x86_Wintel_per_OS_2014,0))))</f>
        <v>187.1</v>
      </c>
      <c r="FI14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49" spans="1:165">
      <c r="A149" s="122" t="s">
        <v>53</v>
      </c>
      <c r="B149" s="36"/>
      <c r="C149" s="36"/>
      <c r="D149" s="36"/>
      <c r="E149" s="37"/>
      <c r="F149" s="37"/>
      <c r="G149" s="103"/>
      <c r="H149" s="103"/>
      <c r="I149" s="38"/>
      <c r="J149" s="37"/>
      <c r="K149" s="37"/>
      <c r="L149" s="37"/>
      <c r="M149" s="103" t="e">
        <f ca="1">IF(rngIsDate(HostBuild[CTO Acceptance]),"Y","N")</f>
        <v>#NAME?</v>
      </c>
      <c r="N149" s="123" t="s">
        <v>181</v>
      </c>
      <c r="O149" s="39"/>
      <c r="P149" s="39"/>
      <c r="Q149" s="123" t="s">
        <v>50</v>
      </c>
      <c r="R149" s="126" t="str">
        <f>IF(NOT(ISBLANK(HostBuild[Env Label])),IFERROR(VLOOKUP(HostBuild[Env Label],[1]!tEnv[#Data],3,FALSE),""),"")</f>
        <v/>
      </c>
      <c r="S149" s="104"/>
      <c r="T149" s="40"/>
      <c r="U149" s="105"/>
      <c r="V149" s="123" t="s">
        <v>37</v>
      </c>
      <c r="W149" s="123" t="s">
        <v>39</v>
      </c>
      <c r="X149" s="123" t="s">
        <v>99</v>
      </c>
      <c r="Y149" s="123" t="s">
        <v>188</v>
      </c>
      <c r="Z149" s="126" t="str">
        <f>IF(NOT(ISBLANK(HostBuild[[#This Row],[Product 
(Acronym)]])),CONCATENATE(HostBuild[[#This Row],[Type]],"-",HostBuild[[#This Row],[Product 
(Acronym)]]),"")</f>
        <v>DB-CBOL</v>
      </c>
      <c r="AA149" s="106"/>
      <c r="AB149" s="106" t="s">
        <v>76</v>
      </c>
      <c r="AC149" s="41"/>
      <c r="AD149" s="42"/>
      <c r="AE149" s="42"/>
      <c r="AF149" s="43"/>
      <c r="AG149" s="124"/>
      <c r="AH149" s="107"/>
      <c r="AI149" s="124" t="s">
        <v>217</v>
      </c>
      <c r="AJ149" s="123">
        <f>IF(COUNTIF(HostBuild[Alias],HostBuild[Alias]),1/COUNTIF(HostBuild[Alias],HostBuild[Alias]),0)</f>
        <v>1</v>
      </c>
      <c r="AK149" s="124"/>
      <c r="AL149" s="124"/>
      <c r="AM149" s="44" t="s">
        <v>101</v>
      </c>
      <c r="AN149" s="45" t="str">
        <f>IF(NOT(ISBLANK(HostBuild[Server Model])),VLOOKUP(HostBuild[Server Model],[1]!ServerModelsTier[#Data],2,FALSE),"")</f>
        <v>IBM P-Series Tier 2</v>
      </c>
      <c r="AO149" s="45" t="str">
        <f>IF(NOT(ISBLANK(HostBuild[Server Model])),VLOOKUP(HostBuild[Server Model],[1]!ServerModelsTier[#Data],5,FALSE),"")</f>
        <v>pSeries</v>
      </c>
      <c r="AP149" s="44"/>
      <c r="AQ149" s="44" t="s">
        <v>102</v>
      </c>
      <c r="AR149" s="46">
        <v>1</v>
      </c>
      <c r="AS149" s="108"/>
      <c r="AT149" s="47">
        <v>1</v>
      </c>
      <c r="AU149" s="109"/>
      <c r="AV149" s="48">
        <v>32</v>
      </c>
      <c r="AW149" s="124"/>
      <c r="AX149" s="124"/>
      <c r="AY149" s="124"/>
      <c r="AZ149" s="49"/>
      <c r="BA149" s="124"/>
      <c r="BB149" s="124"/>
      <c r="BC149" s="42"/>
      <c r="BD149" s="124"/>
      <c r="BE149" s="124"/>
      <c r="BF149" s="124"/>
      <c r="BG149" s="124"/>
      <c r="BH149" s="124"/>
      <c r="BI149" s="124"/>
      <c r="BJ149" s="124"/>
      <c r="BK149"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49" s="127">
        <v>600</v>
      </c>
      <c r="BM149" s="129">
        <f>IF(ISNUMBER(HostBuild[Recommended SAN (GB)]),HostBuild[Recommended SAN (GB)])+IF(HostBuild[Additional SAN (GB)]&gt;0,CEILING(HostBuild[Additional SAN (GB)],LUN),-(CEILING(-HostBuild[Additional SAN (GB)],LUN)))</f>
        <v>606.6</v>
      </c>
      <c r="BN149" s="128"/>
      <c r="BO149" s="129">
        <f>HostBuild[SAN (GB)
NEEDED TODAY]+CEILING(HostBuild[SAN (GB)
RESERVED
DO NOT USE TO BUILD], LUN)</f>
        <v>606.6</v>
      </c>
      <c r="BP149" s="130"/>
      <c r="BQ149" s="131"/>
      <c r="BR149" s="125" t="s">
        <v>76</v>
      </c>
      <c r="BS149" s="110">
        <f>IF(HostBuild[Existing Server?]&lt;&gt;"Yes - Inside this BoM",IF(ISNUMBER(HostBuild[RAM 
(GB)]),IF(HostBuild[Existing RAM (GB)]+HostBuild[RAM 
(GB)]&gt;0,IF(HostBuild[Virtual Platform Storage Type]="NAS",110+HostBuild[Existing RAM (GB)]+HostBuild[RAM 
(GB)]*1.75,0),0),0),0)</f>
        <v>0</v>
      </c>
      <c r="BT149" s="111"/>
      <c r="BU149" s="112">
        <f>IF(ISNUMBER(HostBuild[Recommended NAS (GB)]),HostBuild[Recommended NAS (GB)])+HostBuild[Additional NAS (GB)]</f>
        <v>0</v>
      </c>
      <c r="BV149" s="50"/>
      <c r="BW149" s="50"/>
      <c r="BX149" s="133">
        <f>IFERROR((HostBuild[SAN (GB)
End-State
DO NOT USE TO BUILD]+HostBuild[SAN (GB) Shared])*25%,"")</f>
        <v>151.65</v>
      </c>
      <c r="BY149" s="113">
        <f>IFERROR(HostBuild[Archive
Full (GB)]*15%,"")</f>
        <v>22.747499999999999</v>
      </c>
      <c r="BZ149" s="51"/>
      <c r="CA149" s="51"/>
      <c r="CB149" s="52"/>
      <c r="CC149" s="53"/>
      <c r="CD149" s="52"/>
      <c r="CE149" s="54"/>
      <c r="CF149" s="128"/>
      <c r="CG149" s="114"/>
      <c r="CH149" s="55"/>
      <c r="CI149" s="56"/>
      <c r="CJ149" s="57"/>
      <c r="CK149" s="58"/>
      <c r="CL149" s="59">
        <f>IFERROR(IF(FIND(CL$1,$W149)&gt;0,IF(INDEX([1]!Product_Pricing_Table[#Data],MATCH(CL$1,Products,0),2)="Cores",IF(HostBuild[Use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49" s="59">
        <f>IFERROR(IF(FIND(CM$1,$W149)&gt;0,IF(INDEX([1]!Product_Pricing_Table[#Data],MATCH(CM$1,Products,0),2)="Cores",IF(HostBuild[Use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49" s="59">
        <f>IFERROR(IF(FIND(CN$1,$W149)&gt;0,IF(INDEX([1]!Product_Pricing_Table[#Data],MATCH(CN$1,Products,0),2)="Cores",IF(HostBuild[Use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49" s="59">
        <f>IFERROR(IF(FIND(CO$1,$W149)&gt;0,IF(INDEX([1]!Product_Pricing_Table[#Data],MATCH(CO$1,Products,0),2)="Cores",IF(HostBuild[Use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49" s="59">
        <f>IFERROR(IF(FIND(CP$1,$W149)&gt;0,IF(INDEX([1]!Product_Pricing_Table[#Data],MATCH(CP$1,Products,0),2)="Cores",IF(HostBuild[Use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49" s="59">
        <f>IFERROR(IF(FIND(CQ$1,$W149)&gt;0,IF(INDEX([1]!Product_Pricing_Table[#Data],MATCH(CQ$1,Products,0),2)="Cores",IF(HostBuild[Use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49" s="59">
        <f>IFERROR(IF(FIND(CR$1,$W149)&gt;0,IF(INDEX([1]!Product_Pricing_Table[#Data],MATCH(CR$1,Products,0),2)="Cores",IF(HostBuild[Use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49" s="59">
        <f>IFERROR(IF(FIND(CS$1,$W149)&gt;0,IF(INDEX([1]!Product_Pricing_Table[#Data],MATCH(CS$1,Products,0),2)="Cores",IF(HostBuild[Use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49" s="59">
        <f>IFERROR(IF(FIND(CT$1,$W149)&gt;0,IF(INDEX([1]!Product_Pricing_Table[#Data],MATCH(CT$1,Products,0),2)="Cores",IF(HostBuild[Use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49" s="59">
        <f>IFERROR(IF(FIND(CU$1,$W149)&gt;0,IF(INDEX([1]!Product_Pricing_Table[#Data],MATCH(CU$1,Products,0),2)="Cores",IF(HostBuild[Use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49" s="59">
        <f>IFERROR(IF(FIND(CV$1,$W149)&gt;0,IF(INDEX([1]!Product_Pricing_Table[#Data],MATCH(CV$1,Products,0),2)="Cores",IF(HostBuild[Use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49" s="59">
        <f>IFERROR(IF(FIND(CW$1,$W149)&gt;0,IF(INDEX([1]!Product_Pricing_Table[#Data],MATCH(CW$1,Products,0),2)="Cores",IF(HostBuild[Use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49" s="59">
        <f>IFERROR(IF(FIND(CX$1,$W149)&gt;0,IF(INDEX([1]!Product_Pricing_Table[#Data],MATCH(CX$1,Products,0),2)="Cores",IF(HostBuild[Use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49" s="59">
        <f>IFERROR(IF(FIND(CY$1,$W149)&gt;0,IF(INDEX([1]!Product_Pricing_Table[#Data],MATCH(CY$1,Products,0),2)="Cores",IF(HostBuild[Use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49" s="59">
        <f>IFERROR(IF(FIND(CZ$1,$W149)&gt;0,IF(INDEX([1]!Product_Pricing_Table[#Data],MATCH(CZ$1,Products,0),2)="Cores",IF(HostBuild[Use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49" s="59">
        <f>IFERROR(IF(FIND(DA$1,$W149)&gt;0,IF(INDEX([1]!Product_Pricing_Table[#Data],MATCH(DA$1,Products,0),2)="Cores",IF(HostBuild[Use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49" s="59">
        <f>IFERROR(IF(FIND(DB$1,$W149)&gt;0,IF(INDEX([1]!Product_Pricing_Table[#Data],MATCH(DB$1,Products,0),2)="Cores",IF(HostBuild[Use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49" s="59">
        <f>IFERROR(IF(FIND(DC$1,$W149)&gt;0,IF(INDEX([1]!Product_Pricing_Table[#Data],MATCH(DC$1,Products,0),2)="Cores",IF(HostBuild[Use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49" s="59">
        <f>IFERROR(IF(FIND(DD$1,$W149)&gt;0,IF(INDEX([1]!Product_Pricing_Table[#Data],MATCH(DD$1,Products,0),2)="Cores",IF(HostBuild[Use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49" s="59">
        <f>IFERROR(IF(FIND(DE$1,$W149)&gt;0,IF(INDEX([1]!Product_Pricing_Table[#Data],MATCH(DE$1,Products,0),2)="Cores",IF(HostBuild[Use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49" s="60">
        <f>IFERROR(IF(FIND(DF$1,$W149)&gt;0,IF(INDEX([1]!Product_Pricing_Table[#Data],MATCH(DF$1,Products,0),2)="Cores",IF(HostBuild[Use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49" s="60">
        <f>IFERROR(IF(FIND(DG$1,$W149)&gt;0,IF(INDEX([1]!Product_Pricing_Table[#Data],MATCH(DG$1,Products,0),2)="Cores",IF(HostBuild[Use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49" s="59">
        <f>IFERROR(IF(FIND(DH$1,$W149)&gt;0,IF(INDEX([1]!Product_Pricing_Table[#Data],MATCH(DH$1,Products,0),2)="Cores",IF(HostBuild[Use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49" s="60">
        <f>IFERROR(IF(FIND(DI$1,$W149)&gt;0,IF(INDEX([1]!Product_Pricing_Table[#Data],MATCH(DI$1,Products,0),2)="Cores",IF(HostBuild[Use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49" s="59">
        <f>IFERROR(IF(FIND(DJ$1,$W149)&gt;0,IF(INDEX([1]!Product_Pricing_Table[#Data],MATCH(DJ$1,Products,0),2)="Cores",IF(HostBuild[Use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49" s="59">
        <f>IFERROR(IF(FIND(DK$1,$W149)&gt;0,IF(INDEX([1]!Product_Pricing_Table[#Data],MATCH(DK$1,Products,0),2)="Cores",IF(HostBuild[Use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49" s="59">
        <f>IFERROR(IF(FIND(DL$1,$W149)&gt;0,IF(INDEX([1]!Product_Pricing_Table[#Data],MATCH(DL$1,Products,0),2)="Cores",IF(HostBuild[Use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49" s="59">
        <f>IFERROR(IF(FIND(DM$1,$W149)&gt;0,IF(INDEX([1]!Product_Pricing_Table[#Data],MATCH(DM$1,Products,0),2)="Cores",IF(HostBuild[Use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49" s="59">
        <f>IFERROR(IF(FIND(DN$1,$W149)&gt;0,IF(INDEX([1]!Product_Pricing_Table[#Data],MATCH(DN$1,Products,0),2)="Cores",IF(HostBuild[Use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49" s="59">
        <f>IFERROR(IF(FIND(DO$1,$W149)&gt;0,IF(INDEX([1]!Product_Pricing_Table[#Data],MATCH(DO$1,Products,0),2)="Cores",IF(HostBuild[Use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49" s="59">
        <f>IFERROR(IF(FIND(DP$1,$W149)&gt;0,IF(INDEX([1]!Product_Pricing_Table[#Data],MATCH(DP$1,Products,0),2)="Cores",IF(HostBuild[Use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49" s="59">
        <f>IFERROR(IF(FIND(DQ$1,$W149)&gt;0,IF(INDEX([1]!Product_Pricing_Table[#Data],MATCH(DQ$1,Products,0),2)="Cores",IF(HostBuild[Use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49" s="59">
        <f>IFERROR(IF(FIND(DR$1,$W149)&gt;0,IF(INDEX([1]!Product_Pricing_Table[#Data],MATCH(DR$1,Products,0),2)="Cores",IF(HostBuild[Use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49" s="59">
        <f>IFERROR(IF(FIND(DS$1,$W149)&gt;0,IF(INDEX([1]!Product_Pricing_Table[#Data],MATCH(DS$1,Products,0),2)="Cores",IF(HostBuild[Use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49" s="59">
        <f>IFERROR(IF(FIND(DT$1,$W149)&gt;0,IF(INDEX([1]!Product_Pricing_Table[#Data],MATCH(DT$1,Products,0),2)="Cores",IF(HostBuild[Use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49" s="59">
        <f>IFERROR(IF(FIND(DU$1,$W149)&gt;0,IF(INDEX([1]!Product_Pricing_Table[#Data],MATCH(DU$1,Products,0),2)="Cores",IF(HostBuild[Use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49" s="59">
        <f>IFERROR(IF(FIND(DV$1,$W149)&gt;0,IF(INDEX([1]!Product_Pricing_Table[#Data],MATCH(DV$1,Products,0),2)="Cores",IF(HostBuild[Use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49" s="59">
        <f>IFERROR(IF(FIND(DW$1,$W149)&gt;0,IF(INDEX([1]!Product_Pricing_Table[#Data],MATCH(DW$1,Products,0),2)="Cores",IF(HostBuild[Use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49" s="59">
        <f>IFERROR(IF(FIND(DX$1,$W149)&gt;0,IF(INDEX([1]!Product_Pricing_Table[#Data],MATCH(DX$1,Products,0),2)="Cores",IF(HostBuild[Use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49" s="59">
        <f>IFERROR(IF(FIND(DY$1,$W149)&gt;0,IF(INDEX([1]!Product_Pricing_Table[#Data],MATCH(DY$1,Products,0),2)="Cores",IF(HostBuild[Use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49" s="59">
        <f>IFERROR(IF(FIND(DZ$1,$W149)&gt;0,IF(INDEX([1]!Product_Pricing_Table[#Data],MATCH(DZ$1,Products,0),2)="Cores",IF(HostBuild[Use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49" s="59">
        <f>IFERROR(IF(FIND(EA$1,$W149)&gt;0,IF(INDEX([1]!Product_Pricing_Table[#Data],MATCH(EA$1,Products,0),2)="Cores",IF(HostBuild[Use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49" s="59">
        <f>IFERROR(IF(FIND(EB$1,$W149)&gt;0,IF(INDEX([1]!Product_Pricing_Table[#Data],MATCH(EB$1,Products,0),2)="Cores",IF(HostBuild[Use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49" s="60">
        <f>IFERROR(IF(FIND(EC$1,$W149)&gt;0,IF(INDEX([1]!Product_Pricing_Table[#Data],MATCH(EC$1,Products,0),2)="Cores",IF(HostBuild[Use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49" s="59">
        <f>IFERROR(IF(FIND(ED$1,$W149)&gt;0,IF(INDEX([1]!Product_Pricing_Table[#Data],MATCH(ED$1,Products,0),2)="Cores",IF(HostBuild[Use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49" s="59">
        <f>IFERROR(IF(FIND(EE$1,$W149)&gt;0,IF(INDEX([1]!Product_Pricing_Table[#Data],MATCH(EE$1,Products,0),2)="Cores",IF(HostBuild[Use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49" s="59">
        <f>IFERROR(IF(FIND(EF$1,$W149)&gt;0,IF(INDEX([1]!Product_Pricing_Table[#Data],MATCH(EF$1,Products,0),2)="Cores",IF(HostBuild[Use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49" s="59">
        <f>IFERROR(IF(FIND(EG$1,$W149)&gt;0,IF(INDEX([1]!Product_Pricing_Table[#Data],MATCH(EG$1,Products,0),2)="Cores",IF(HostBuild[Use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49" s="59">
        <f>IFERROR(IF(FIND(EH$1,$W149)&gt;0,IF(INDEX([1]!Product_Pricing_Table[#Data],MATCH(EH$1,Products,0),2)="Cores",IF(HostBuild[Use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49" s="59">
        <f>IFERROR(IF(FIND(EI$1,$W149)&gt;0,IF(INDEX([1]!Product_Pricing_Table[#Data],MATCH(EI$1,Products,0),2)="Cores",IF(HostBuild[Use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49" s="59">
        <f>IFERROR(IF(FIND(EJ$1,$W149)&gt;0,IF(INDEX([1]!Product_Pricing_Table[#Data],MATCH(EJ$1,Products,0),2)="Cores",IF(HostBuild[Use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49" s="60">
        <f>IFERROR(IF(FIND(EK$1,$W149)&gt;0,IF(INDEX([1]!Product_Pricing_Table[#Data],MATCH(EK$1,Products,0),2)="Cores",IF(HostBuild[Use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49" s="61"/>
      <c r="EM149" s="62"/>
      <c r="EN149" s="63"/>
      <c r="EO149" s="64">
        <f>IF(OR(ISBLANK(HostBuild[Alias]),HostBuild[Server Tier]="",),0,IF(HostBuild[Server Tier]="SafeNet",Safenet_PSE_PL600+HostBuild[Network Cost],IF(HostBuild[Server Tier]="VMware",HostBuild[New VMware (Adjusted)]+HostBuild[Initial Server Cost],IF(HostBuild[Server Tier]="XI52",IBM_DIA_XI52,HostBuild[Initial Server Cost]))))</f>
        <v>1160.0999999999999</v>
      </c>
      <c r="EP14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272.97000000000003</v>
      </c>
      <c r="EQ149" s="132">
        <f>(HostBuild[Archive
Full (GB)]+HostBuild[Archive
Incr (GB)])*Storage_DC_Dist_Tape_2014</f>
        <v>61.039124999999999</v>
      </c>
      <c r="ER149" s="132">
        <f>IF(ISNUMBER(HostBuild[Server HW Costs
(Monthly)]),SUM(HostBuild[[#This Row],[Server HW Costs
(Monthly)]:[Tape Costs
(Monthly)]]),0)</f>
        <v>1494.1091249999999</v>
      </c>
      <c r="ES149" s="65">
        <f>HostBuild[Software Costs
'[Year 1']
(Monthly)]+HostBuild[Total Hardware Costs
(Monthly)]</f>
        <v>1494.1091249999999</v>
      </c>
      <c r="ET149" s="65">
        <f>IFERROR(IF(FIND("Safenet",HostBuild[Server Model]),Safenet_PSE_PL600_Maint,0),0)+IFERROR(IF(FIND("XI52",HostBuild[Server Model]),IBM_DIA_XI52_Maint,0),0)+HostBuild[Software Costs
'[After Year 1']
(Monthly)]+HostBuild[Total Hardware Costs
(Monthly)]</f>
        <v>1494.1091249999999</v>
      </c>
      <c r="EU149" s="66">
        <f>SUM(HostBuild[[#This Row],[Server Cost Breakdown]:[Network Cost]])</f>
        <v>1160.0999999999999</v>
      </c>
      <c r="EV149" s="67">
        <f>IF(HostBuild[Existing Server?]="Yes - Inside this BoM",0,SUMIF(HostBuild[Alias],HostBuild[Alias],HostBuild[CPU])+SUMIF(HostBuild[Alias],HostBuild[Alias],HostBuild[Existing CPUs]))</f>
        <v>1</v>
      </c>
      <c r="EW149" s="67">
        <f>IF(HostBuild[Existing Server?]="Yes - Inside this BoM",0,SUMIF(HostBuild[Alias],HostBuild[Alias],HostBuild[Cores 
(Licensed Units)])+SUMIF(HostBuild[Alias],HostBuild[Alias],HostBuild[Existing Cores]))</f>
        <v>1</v>
      </c>
      <c r="EX149" s="67">
        <f>IF(HostBuild[Existing Server?]="Yes - Inside this BoM",0,SUMIF(HostBuild[Alias],HostBuild[Alias],HostBuild[RAM 
(GB)])+SUMIF(HostBuild[Alias],HostBuild[Alias],HostBuild[Existing RAM (GB)]))</f>
        <v>32</v>
      </c>
      <c r="EY14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4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4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4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49" s="66">
        <f>IF(ISBLANK(HostBuild[Server Model]),0,IF(HostBuild[Server Tier]="VMware",0,VLOOKUP(HostBuild[Server Tier],[1]!ServerTierRates[#Data],2,0))*HostBuild[CPU]*IF(AND(HostBuild[Server Type]="pSeries",HostBuild[Virtual Platform Storage Type]="Cloud-SAN"),0.25,1))</f>
        <v>829</v>
      </c>
      <c r="FD149" s="66">
        <f>0</f>
        <v>0</v>
      </c>
      <c r="FE149" s="66">
        <f>IF(HostBuild[Server Type]="VMware",HostBuild[RAM 
(GB)]*IF(ISERROR(FIND("DevCloud", HostBuild[Server Model])&gt;0),vRAM_per_vCPU_2014_Monthly,vRAM_per_vCPU_2014_Daily*30),0)</f>
        <v>0</v>
      </c>
      <c r="FF14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144</v>
      </c>
      <c r="FG14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49" s="69">
        <f>IF(HostBuild[Server Tier]="VMware",0,IF(LEFT(HostBuild[Existing Server?],3)="Yes",0,IF(OR(HostBuild[Server Type]="Sun",HostBuild[Server Type]="pSeries"),Support_Direct_Server_Sun_per_OS_2014,IF(HostBuild[Server Type]="x86",Support_Direct_Server_x86_Wintel_per_OS_2014,0))))</f>
        <v>187.1</v>
      </c>
      <c r="FI14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0" spans="1:165">
      <c r="A150" s="122" t="s">
        <v>53</v>
      </c>
      <c r="B150" s="36"/>
      <c r="C150" s="36"/>
      <c r="D150" s="36"/>
      <c r="E150" s="37"/>
      <c r="F150" s="37"/>
      <c r="G150" s="103"/>
      <c r="H150" s="103"/>
      <c r="I150" s="38"/>
      <c r="J150" s="37"/>
      <c r="K150" s="37"/>
      <c r="L150" s="37"/>
      <c r="M150" s="103" t="e">
        <f ca="1">IF(rngIsDate(HostBuild[CTO Acceptance]),"Y","N")</f>
        <v>#NAME?</v>
      </c>
      <c r="N150" s="123" t="s">
        <v>181</v>
      </c>
      <c r="O150" s="39"/>
      <c r="P150" s="39"/>
      <c r="Q150" s="123" t="s">
        <v>2</v>
      </c>
      <c r="R150" s="126" t="str">
        <f>IF(NOT(ISBLANK(HostBuild[Env Label])),IFERROR(VLOOKUP(HostBuild[Env Label],[1]!tEnv[#Data],3,FALSE),""),"")</f>
        <v/>
      </c>
      <c r="S150" s="104"/>
      <c r="T150" s="40"/>
      <c r="U150" s="105"/>
      <c r="V150" s="123" t="s">
        <v>41</v>
      </c>
      <c r="W150" s="123" t="s">
        <v>43</v>
      </c>
      <c r="X150" s="123" t="s">
        <v>99</v>
      </c>
      <c r="Y150" s="123" t="s">
        <v>188</v>
      </c>
      <c r="Z150" s="126" t="str">
        <f>IF(NOT(ISBLANK(HostBuild[[#This Row],[Product 
(Acronym)]])),CONCATENATE(HostBuild[[#This Row],[Type]],"-",HostBuild[[#This Row],[Product 
(Acronym)]]),"")</f>
        <v>DB-CBOL</v>
      </c>
      <c r="AA150" s="106"/>
      <c r="AB150" s="106" t="s">
        <v>76</v>
      </c>
      <c r="AC150" s="41"/>
      <c r="AD150" s="42"/>
      <c r="AE150" s="42"/>
      <c r="AF150" s="43"/>
      <c r="AG150" s="124"/>
      <c r="AH150" s="107"/>
      <c r="AI150" s="124" t="s">
        <v>385</v>
      </c>
      <c r="AJ150" s="123">
        <f>IF(COUNTIF(HostBuild[Alias],HostBuild[Alias]),1/COUNTIF(HostBuild[Alias],HostBuild[Alias]),0)</f>
        <v>1</v>
      </c>
      <c r="AK150" s="124"/>
      <c r="AL150" s="124"/>
      <c r="AM150" s="44" t="s">
        <v>101</v>
      </c>
      <c r="AN150" s="45" t="str">
        <f>IF(NOT(ISBLANK(HostBuild[Server Model])),VLOOKUP(HostBuild[Server Model],[1]!ServerModelsTier[#Data],2,FALSE),"")</f>
        <v>IBM P-Series Tier 2</v>
      </c>
      <c r="AO150" s="45" t="str">
        <f>IF(NOT(ISBLANK(HostBuild[Server Model])),VLOOKUP(HostBuild[Server Model],[1]!ServerModelsTier[#Data],5,FALSE),"")</f>
        <v>pSeries</v>
      </c>
      <c r="AP150" s="44"/>
      <c r="AQ150" s="44" t="s">
        <v>102</v>
      </c>
      <c r="AR150" s="46">
        <v>1</v>
      </c>
      <c r="AS150" s="108"/>
      <c r="AT150" s="47">
        <v>2</v>
      </c>
      <c r="AU150" s="109"/>
      <c r="AV150" s="48">
        <v>32</v>
      </c>
      <c r="AW150" s="124"/>
      <c r="AX150" s="124"/>
      <c r="AY150" s="124"/>
      <c r="AZ150" s="49"/>
      <c r="BA150" s="124"/>
      <c r="BB150" s="124"/>
      <c r="BC150" s="42"/>
      <c r="BD150" s="124"/>
      <c r="BE150" s="124"/>
      <c r="BF150" s="124"/>
      <c r="BG150" s="124"/>
      <c r="BH150" s="124"/>
      <c r="BI150" s="124"/>
      <c r="BJ150" s="124"/>
      <c r="BK150"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50" s="127">
        <v>600</v>
      </c>
      <c r="BM150" s="129">
        <f>IF(ISNUMBER(HostBuild[Recommended SAN (GB)]),HostBuild[Recommended SAN (GB)])+IF(HostBuild[Additional SAN (GB)]&gt;0,CEILING(HostBuild[Additional SAN (GB)],LUN),-(CEILING(-HostBuild[Additional SAN (GB)],LUN)))</f>
        <v>606.6</v>
      </c>
      <c r="BN150" s="128"/>
      <c r="BO150" s="129">
        <f>HostBuild[SAN (GB)
NEEDED TODAY]+CEILING(HostBuild[SAN (GB)
RESERVED
DO NOT USE TO BUILD], LUN)</f>
        <v>606.6</v>
      </c>
      <c r="BP150" s="130"/>
      <c r="BQ150" s="131"/>
      <c r="BR150" s="125" t="s">
        <v>76</v>
      </c>
      <c r="BS150" s="110">
        <f>IF(HostBuild[Existing Server?]&lt;&gt;"Yes - Inside this BoM",IF(ISNUMBER(HostBuild[RAM 
(GB)]),IF(HostBuild[Existing RAM (GB)]+HostBuild[RAM 
(GB)]&gt;0,IF(HostBuild[Virtual Platform Storage Type]="NAS",110+HostBuild[Existing RAM (GB)]+HostBuild[RAM 
(GB)]*1.75,0),0),0),0)</f>
        <v>0</v>
      </c>
      <c r="BT150" s="111"/>
      <c r="BU150" s="112">
        <f>IF(ISNUMBER(HostBuild[Recommended NAS (GB)]),HostBuild[Recommended NAS (GB)])+HostBuild[Additional NAS (GB)]</f>
        <v>0</v>
      </c>
      <c r="BV150" s="50"/>
      <c r="BW150" s="50"/>
      <c r="BX150" s="133">
        <f>IFERROR((HostBuild[SAN (GB)
End-State
DO NOT USE TO BUILD]+HostBuild[SAN (GB) Shared])*25%,"")</f>
        <v>151.65</v>
      </c>
      <c r="BY150" s="113">
        <f>IFERROR(HostBuild[Archive
Full (GB)]*15%,"")</f>
        <v>22.747499999999999</v>
      </c>
      <c r="BZ150" s="51"/>
      <c r="CA150" s="51"/>
      <c r="CB150" s="52"/>
      <c r="CC150" s="53"/>
      <c r="CD150" s="52"/>
      <c r="CE150" s="54"/>
      <c r="CF150" s="128"/>
      <c r="CG150" s="114"/>
      <c r="CH150" s="55"/>
      <c r="CI150" s="56"/>
      <c r="CJ150" s="123" t="s">
        <v>43</v>
      </c>
      <c r="CK150" s="58"/>
      <c r="CL150" s="59">
        <f>IFERROR(IF(FIND(CL$1,$W150)&gt;0,IF(INDEX([1]!Product_Pricing_Table[#Data],MATCH(CL$1,Products,0),2)="Cores",IF(HostBuild[Use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0" s="59">
        <f>IFERROR(IF(FIND(CM$1,$W150)&gt;0,IF(INDEX([1]!Product_Pricing_Table[#Data],MATCH(CM$1,Products,0),2)="Cores",IF(HostBuild[Use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0" s="59">
        <f>IFERROR(IF(FIND(CN$1,$W150)&gt;0,IF(INDEX([1]!Product_Pricing_Table[#Data],MATCH(CN$1,Products,0),2)="Cores",IF(HostBuild[Use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0" s="59">
        <f>IFERROR(IF(FIND(CO$1,$W150)&gt;0,IF(INDEX([1]!Product_Pricing_Table[#Data],MATCH(CO$1,Products,0),2)="Cores",IF(HostBuild[Use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0" s="59">
        <f>IFERROR(IF(FIND(CP$1,$W150)&gt;0,IF(INDEX([1]!Product_Pricing_Table[#Data],MATCH(CP$1,Products,0),2)="Cores",IF(HostBuild[Use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0" s="59">
        <f>IFERROR(IF(FIND(CQ$1,$W150)&gt;0,IF(INDEX([1]!Product_Pricing_Table[#Data],MATCH(CQ$1,Products,0),2)="Cores",IF(HostBuild[Use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0" s="59">
        <f>IFERROR(IF(FIND(CR$1,$W150)&gt;0,IF(INDEX([1]!Product_Pricing_Table[#Data],MATCH(CR$1,Products,0),2)="Cores",IF(HostBuild[Use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0" s="59">
        <f>IFERROR(IF(FIND(CS$1,$W150)&gt;0,IF(INDEX([1]!Product_Pricing_Table[#Data],MATCH(CS$1,Products,0),2)="Cores",IF(HostBuild[Use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0" s="59">
        <f>IFERROR(IF(FIND(CT$1,$W150)&gt;0,IF(INDEX([1]!Product_Pricing_Table[#Data],MATCH(CT$1,Products,0),2)="Cores",IF(HostBuild[Use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0" s="59">
        <f>IFERROR(IF(FIND(CU$1,$W150)&gt;0,IF(INDEX([1]!Product_Pricing_Table[#Data],MATCH(CU$1,Products,0),2)="Cores",IF(HostBuild[Use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0" s="59">
        <f>IFERROR(IF(FIND(CV$1,$W150)&gt;0,IF(INDEX([1]!Product_Pricing_Table[#Data],MATCH(CV$1,Products,0),2)="Cores",IF(HostBuild[Use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0" s="59">
        <f>IFERROR(IF(FIND(CW$1,$W150)&gt;0,IF(INDEX([1]!Product_Pricing_Table[#Data],MATCH(CW$1,Products,0),2)="Cores",IF(HostBuild[Use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0" s="59">
        <f>IFERROR(IF(FIND(CX$1,$W150)&gt;0,IF(INDEX([1]!Product_Pricing_Table[#Data],MATCH(CX$1,Products,0),2)="Cores",IF(HostBuild[Use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0" s="59">
        <f>IFERROR(IF(FIND(CY$1,$W150)&gt;0,IF(INDEX([1]!Product_Pricing_Table[#Data],MATCH(CY$1,Products,0),2)="Cores",IF(HostBuild[Use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0" s="59">
        <f>IFERROR(IF(FIND(CZ$1,$W150)&gt;0,IF(INDEX([1]!Product_Pricing_Table[#Data],MATCH(CZ$1,Products,0),2)="Cores",IF(HostBuild[Use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0" s="59">
        <f>IFERROR(IF(FIND(DA$1,$W150)&gt;0,IF(INDEX([1]!Product_Pricing_Table[#Data],MATCH(DA$1,Products,0),2)="Cores",IF(HostBuild[Use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0" s="59">
        <f>IFERROR(IF(FIND(DB$1,$W150)&gt;0,IF(INDEX([1]!Product_Pricing_Table[#Data],MATCH(DB$1,Products,0),2)="Cores",IF(HostBuild[Use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0" s="59">
        <f>IFERROR(IF(FIND(DC$1,$W150)&gt;0,IF(INDEX([1]!Product_Pricing_Table[#Data],MATCH(DC$1,Products,0),2)="Cores",IF(HostBuild[Use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0" s="59">
        <f>IFERROR(IF(FIND(DD$1,$W150)&gt;0,IF(INDEX([1]!Product_Pricing_Table[#Data],MATCH(DD$1,Products,0),2)="Cores",IF(HostBuild[Use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0" s="59">
        <f>IFERROR(IF(FIND(DE$1,$W150)&gt;0,IF(INDEX([1]!Product_Pricing_Table[#Data],MATCH(DE$1,Products,0),2)="Cores",IF(HostBuild[Use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0" s="60">
        <f>IFERROR(IF(FIND(DF$1,$W150)&gt;0,IF(INDEX([1]!Product_Pricing_Table[#Data],MATCH(DF$1,Products,0),2)="Cores",IF(HostBuild[Use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0" s="60">
        <f>IFERROR(IF(FIND(DG$1,$W150)&gt;0,IF(INDEX([1]!Product_Pricing_Table[#Data],MATCH(DG$1,Products,0),2)="Cores",IF(HostBuild[Use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0" s="59">
        <f>IFERROR(IF(FIND(DH$1,$W150)&gt;0,IF(INDEX([1]!Product_Pricing_Table[#Data],MATCH(DH$1,Products,0),2)="Cores",IF(HostBuild[Use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0" s="60">
        <f>IFERROR(IF(FIND(DI$1,$W150)&gt;0,IF(INDEX([1]!Product_Pricing_Table[#Data],MATCH(DI$1,Products,0),2)="Cores",IF(HostBuild[Use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0" s="59">
        <f>IFERROR(IF(FIND(DJ$1,$W150)&gt;0,IF(INDEX([1]!Product_Pricing_Table[#Data],MATCH(DJ$1,Products,0),2)="Cores",IF(HostBuild[Use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0" s="59">
        <f>IFERROR(IF(FIND(DK$1,$W150)&gt;0,IF(INDEX([1]!Product_Pricing_Table[#Data],MATCH(DK$1,Products,0),2)="Cores",IF(HostBuild[Use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0" s="59">
        <f>IFERROR(IF(FIND(DL$1,$W150)&gt;0,IF(INDEX([1]!Product_Pricing_Table[#Data],MATCH(DL$1,Products,0),2)="Cores",IF(HostBuild[Use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0" s="59">
        <f>IFERROR(IF(FIND(DM$1,$W150)&gt;0,IF(INDEX([1]!Product_Pricing_Table[#Data],MATCH(DM$1,Products,0),2)="Cores",IF(HostBuild[Use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0" s="59">
        <f>IFERROR(IF(FIND(DN$1,$W150)&gt;0,IF(INDEX([1]!Product_Pricing_Table[#Data],MATCH(DN$1,Products,0),2)="Cores",IF(HostBuild[Use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0" s="59">
        <f>IFERROR(IF(FIND(DO$1,$W150)&gt;0,IF(INDEX([1]!Product_Pricing_Table[#Data],MATCH(DO$1,Products,0),2)="Cores",IF(HostBuild[Use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0" s="59">
        <f>IFERROR(IF(FIND(DP$1,$W150)&gt;0,IF(INDEX([1]!Product_Pricing_Table[#Data],MATCH(DP$1,Products,0),2)="Cores",IF(HostBuild[Use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0" s="59">
        <f>IFERROR(IF(FIND(DQ$1,$W150)&gt;0,IF(INDEX([1]!Product_Pricing_Table[#Data],MATCH(DQ$1,Products,0),2)="Cores",IF(HostBuild[Use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0" s="59">
        <f>IFERROR(IF(FIND(DR$1,$W150)&gt;0,IF(INDEX([1]!Product_Pricing_Table[#Data],MATCH(DR$1,Products,0),2)="Cores",IF(HostBuild[Use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0" s="59">
        <f>IFERROR(IF(FIND(DS$1,$W150)&gt;0,IF(INDEX([1]!Product_Pricing_Table[#Data],MATCH(DS$1,Products,0),2)="Cores",IF(HostBuild[Use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0" s="59">
        <f>IFERROR(IF(FIND(DT$1,$W150)&gt;0,IF(INDEX([1]!Product_Pricing_Table[#Data],MATCH(DT$1,Products,0),2)="Cores",IF(HostBuild[Use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0" s="59">
        <f>IFERROR(IF(FIND(DU$1,$W150)&gt;0,IF(INDEX([1]!Product_Pricing_Table[#Data],MATCH(DU$1,Products,0),2)="Cores",IF(HostBuild[Use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0" s="59">
        <f>IFERROR(IF(FIND(DV$1,$W150)&gt;0,IF(INDEX([1]!Product_Pricing_Table[#Data],MATCH(DV$1,Products,0),2)="Cores",IF(HostBuild[Use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0" s="59">
        <f>IFERROR(IF(FIND(DW$1,$W150)&gt;0,IF(INDEX([1]!Product_Pricing_Table[#Data],MATCH(DW$1,Products,0),2)="Cores",IF(HostBuild[Use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0" s="59">
        <f>IFERROR(IF(FIND(DX$1,$W150)&gt;0,IF(INDEX([1]!Product_Pricing_Table[#Data],MATCH(DX$1,Products,0),2)="Cores",IF(HostBuild[Use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0" s="59">
        <f>IFERROR(IF(FIND(DY$1,$W150)&gt;0,IF(INDEX([1]!Product_Pricing_Table[#Data],MATCH(DY$1,Products,0),2)="Cores",IF(HostBuild[Use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0" s="59">
        <f>IFERROR(IF(FIND(DZ$1,$W150)&gt;0,IF(INDEX([1]!Product_Pricing_Table[#Data],MATCH(DZ$1,Products,0),2)="Cores",IF(HostBuild[Use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0" s="59">
        <f>IFERROR(IF(FIND(EA$1,$W150)&gt;0,IF(INDEX([1]!Product_Pricing_Table[#Data],MATCH(EA$1,Products,0),2)="Cores",IF(HostBuild[Use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0" s="59">
        <f>IFERROR(IF(FIND(EB$1,$W150)&gt;0,IF(INDEX([1]!Product_Pricing_Table[#Data],MATCH(EB$1,Products,0),2)="Cores",IF(HostBuild[Use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0" s="60">
        <f>IFERROR(IF(FIND(EC$1,$W150)&gt;0,IF(INDEX([1]!Product_Pricing_Table[#Data],MATCH(EC$1,Products,0),2)="Cores",IF(HostBuild[Use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0" s="59">
        <f>IFERROR(IF(FIND(ED$1,$W150)&gt;0,IF(INDEX([1]!Product_Pricing_Table[#Data],MATCH(ED$1,Products,0),2)="Cores",IF(HostBuild[Use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0" s="59">
        <f>IFERROR(IF(FIND(EE$1,$W150)&gt;0,IF(INDEX([1]!Product_Pricing_Table[#Data],MATCH(EE$1,Products,0),2)="Cores",IF(HostBuild[Use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0" s="59">
        <f>IFERROR(IF(FIND(EF$1,$W150)&gt;0,IF(INDEX([1]!Product_Pricing_Table[#Data],MATCH(EF$1,Products,0),2)="Cores",IF(HostBuild[Use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0" s="59">
        <f>IFERROR(IF(FIND(EG$1,$W150)&gt;0,IF(INDEX([1]!Product_Pricing_Table[#Data],MATCH(EG$1,Products,0),2)="Cores",IF(HostBuild[Use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0" s="59">
        <f>IFERROR(IF(FIND(EH$1,$W150)&gt;0,IF(INDEX([1]!Product_Pricing_Table[#Data],MATCH(EH$1,Products,0),2)="Cores",IF(HostBuild[Use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0" s="59">
        <f>IFERROR(IF(FIND(EI$1,$W150)&gt;0,IF(INDEX([1]!Product_Pricing_Table[#Data],MATCH(EI$1,Products,0),2)="Cores",IF(HostBuild[Use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0" s="59">
        <f>IFERROR(IF(FIND(EJ$1,$W150)&gt;0,IF(INDEX([1]!Product_Pricing_Table[#Data],MATCH(EJ$1,Products,0),2)="Cores",IF(HostBuild[Use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0" s="60">
        <f>IFERROR(IF(FIND(EK$1,$W150)&gt;0,IF(INDEX([1]!Product_Pricing_Table[#Data],MATCH(EK$1,Products,0),2)="Cores",IF(HostBuild[Use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0" s="61"/>
      <c r="EM150" s="62">
        <v>512.75</v>
      </c>
      <c r="EN150" s="63">
        <v>204.75</v>
      </c>
      <c r="EO150" s="64">
        <f>IF(OR(ISBLANK(HostBuild[Alias]),HostBuild[Server Tier]="",),0,IF(HostBuild[Server Tier]="SafeNet",Safenet_PSE_PL600+HostBuild[Network Cost],IF(HostBuild[Server Tier]="VMware",HostBuild[New VMware (Adjusted)]+HostBuild[Initial Server Cost],IF(HostBuild[Server Tier]="XI52",IBM_DIA_XI52,HostBuild[Initial Server Cost]))))</f>
        <v>1160.0999999999999</v>
      </c>
      <c r="EP15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272.97000000000003</v>
      </c>
      <c r="EQ150" s="132">
        <f>(HostBuild[Archive
Full (GB)]+HostBuild[Archive
Incr (GB)])*Storage_DC_Dist_Tape_2014</f>
        <v>61.039124999999999</v>
      </c>
      <c r="ER150" s="132">
        <f>IF(ISNUMBER(HostBuild[Server HW Costs
(Monthly)]),SUM(HostBuild[[#This Row],[Server HW Costs
(Monthly)]:[Tape Costs
(Monthly)]]),0)</f>
        <v>1494.1091249999999</v>
      </c>
      <c r="ES150" s="65">
        <f>HostBuild[Software Costs
'[Year 1']
(Monthly)]+HostBuild[Total Hardware Costs
(Monthly)]</f>
        <v>2006.8591249999999</v>
      </c>
      <c r="ET150" s="65">
        <f>IFERROR(IF(FIND("Safenet",HostBuild[Server Model]),Safenet_PSE_PL600_Maint,0),0)+IFERROR(IF(FIND("XI52",HostBuild[Server Model]),IBM_DIA_XI52_Maint,0),0)+HostBuild[Software Costs
'[After Year 1']
(Monthly)]+HostBuild[Total Hardware Costs
(Monthly)]</f>
        <v>1698.8591249999999</v>
      </c>
      <c r="EU150" s="66">
        <f>SUM(HostBuild[[#This Row],[Server Cost Breakdown]:[Network Cost]])</f>
        <v>1160.0999999999999</v>
      </c>
      <c r="EV150" s="67">
        <f>IF(HostBuild[Existing Server?]="Yes - Inside this BoM",0,SUMIF(HostBuild[Alias],HostBuild[Alias],HostBuild[CPU])+SUMIF(HostBuild[Alias],HostBuild[Alias],HostBuild[Existing CPUs]))</f>
        <v>1</v>
      </c>
      <c r="EW150" s="67">
        <f>IF(HostBuild[Existing Server?]="Yes - Inside this BoM",0,SUMIF(HostBuild[Alias],HostBuild[Alias],HostBuild[Cores 
(Licensed Units)])+SUMIF(HostBuild[Alias],HostBuild[Alias],HostBuild[Existing Cores]))</f>
        <v>2</v>
      </c>
      <c r="EX150" s="67">
        <f>IF(HostBuild[Existing Server?]="Yes - Inside this BoM",0,SUMIF(HostBuild[Alias],HostBuild[Alias],HostBuild[RAM 
(GB)])+SUMIF(HostBuild[Alias],HostBuild[Alias],HostBuild[Existing RAM (GB)]))</f>
        <v>32</v>
      </c>
      <c r="EY15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0" s="66">
        <f>IF(ISBLANK(HostBuild[Server Model]),0,IF(HostBuild[Server Tier]="VMware",0,VLOOKUP(HostBuild[Server Tier],[1]!ServerTierRates[#Data],2,0))*HostBuild[CPU]*IF(AND(HostBuild[Server Type]="pSeries",HostBuild[Virtual Platform Storage Type]="Cloud-SAN"),0.25,1))</f>
        <v>829</v>
      </c>
      <c r="FD150" s="66">
        <f>0</f>
        <v>0</v>
      </c>
      <c r="FE150" s="66">
        <f>IF(HostBuild[Server Type]="VMware",HostBuild[RAM 
(GB)]*IF(ISERROR(FIND("DevCloud", HostBuild[Server Model])&gt;0),vRAM_per_vCPU_2014_Monthly,vRAM_per_vCPU_2014_Daily*30),0)</f>
        <v>0</v>
      </c>
      <c r="FF15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144</v>
      </c>
      <c r="FG15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0" s="69">
        <f>IF(HostBuild[Server Tier]="VMware",0,IF(LEFT(HostBuild[Existing Server?],3)="Yes",0,IF(OR(HostBuild[Server Type]="Sun",HostBuild[Server Type]="pSeries"),Support_Direct_Server_Sun_per_OS_2014,IF(HostBuild[Server Type]="x86",Support_Direct_Server_x86_Wintel_per_OS_2014,0))))</f>
        <v>187.1</v>
      </c>
      <c r="FI15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1" spans="1:165" hidden="1">
      <c r="A151" s="122" t="s">
        <v>53</v>
      </c>
      <c r="B151" s="36"/>
      <c r="C151" s="36"/>
      <c r="D151" s="36"/>
      <c r="E151" s="37"/>
      <c r="F151" s="37"/>
      <c r="G151" s="103"/>
      <c r="H151" s="103"/>
      <c r="I151" s="38"/>
      <c r="J151" s="37"/>
      <c r="K151" s="37"/>
      <c r="L151" s="37"/>
      <c r="M151" s="103" t="e">
        <f ca="1">IF(rngIsDate(HostBuild[CTO Acceptance]),"Y","N")</f>
        <v>#NAME?</v>
      </c>
      <c r="N151" s="123" t="s">
        <v>4</v>
      </c>
      <c r="O151" s="39"/>
      <c r="P151" s="39"/>
      <c r="Q151" s="123" t="s">
        <v>0</v>
      </c>
      <c r="R151" s="126" t="str">
        <f>IF(NOT(ISBLANK(HostBuild[Env Label])),IFERROR(VLOOKUP(HostBuild[Env Label],[1]!tEnv[#Data],3,FALSE),""),"")</f>
        <v/>
      </c>
      <c r="S151" s="104"/>
      <c r="T151" s="40"/>
      <c r="U151" s="105"/>
      <c r="V151" s="123" t="s">
        <v>386</v>
      </c>
      <c r="W151" s="123"/>
      <c r="X151" s="123"/>
      <c r="Y151" s="123" t="s">
        <v>188</v>
      </c>
      <c r="Z151" s="126" t="str">
        <f>IF(NOT(ISBLANK(HostBuild[[#This Row],[Product 
(Acronym)]])),CONCATENATE(HostBuild[[#This Row],[Type]],"-",HostBuild[[#This Row],[Product 
(Acronym)]]),"")</f>
        <v>-CBOL</v>
      </c>
      <c r="AA151" s="106"/>
      <c r="AB151" s="106" t="s">
        <v>76</v>
      </c>
      <c r="AC151" s="41"/>
      <c r="AD151" s="42"/>
      <c r="AE151" s="42"/>
      <c r="AF151" s="43"/>
      <c r="AG151" s="124"/>
      <c r="AH151" s="107"/>
      <c r="AI151" s="124"/>
      <c r="AJ151" s="123">
        <f>IF(COUNTIF(HostBuild[Alias],HostBuild[Alias]),1/COUNTIF(HostBuild[Alias],HostBuild[Alias]),0)</f>
        <v>0</v>
      </c>
      <c r="AK151" s="124"/>
      <c r="AL151" s="124"/>
      <c r="AM151" s="44"/>
      <c r="AN151" s="45" t="str">
        <f>IF(NOT(ISBLANK(HostBuild[Server Model])),VLOOKUP(HostBuild[Server Model],[1]!ServerModelsTier[#Data],2,FALSE),"")</f>
        <v/>
      </c>
      <c r="AO151" s="45" t="str">
        <f>IF(NOT(ISBLANK(HostBuild[Server Model])),VLOOKUP(HostBuild[Server Model],[1]!ServerModelsTier[#Data],5,FALSE),"")</f>
        <v/>
      </c>
      <c r="AP151" s="44"/>
      <c r="AQ151" s="44"/>
      <c r="AR151" s="46"/>
      <c r="AS151" s="108"/>
      <c r="AT151" s="47"/>
      <c r="AU151" s="109" t="str">
        <f>IF(IFERROR(FIND("P-Series",HostBuild[Server Tier]),0),CEILING((HostBuild[Existing CPUs]+HostBuild[CPU])*16,8),"")</f>
        <v/>
      </c>
      <c r="AV151" s="48"/>
      <c r="AW151" s="124"/>
      <c r="AX151" s="124"/>
      <c r="AY151" s="124"/>
      <c r="AZ151" s="49"/>
      <c r="BA151" s="124"/>
      <c r="BB151" s="124"/>
      <c r="BC151" s="42"/>
      <c r="BD151" s="124"/>
      <c r="BE151" s="124"/>
      <c r="BF151" s="124"/>
      <c r="BG151" s="124"/>
      <c r="BH151" s="124"/>
      <c r="BI151" s="124"/>
      <c r="BJ151" s="124"/>
      <c r="BK151"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51" s="127"/>
      <c r="BM151" s="129">
        <f>IF(ISNUMBER(HostBuild[Recommended SAN (GB)]),HostBuild[Recommended SAN (GB)])+IF(HostBuild[Additional SAN (GB)]&gt;0,CEILING(HostBuild[Additional SAN (GB)],LUN),-(CEILING(-HostBuild[Additional SAN (GB)],LUN)))</f>
        <v>0</v>
      </c>
      <c r="BN151" s="128"/>
      <c r="BO151" s="129">
        <f>HostBuild[SAN (GB)
NEEDED TODAY]+CEILING(HostBuild[SAN (GB)
RESERVED
DO NOT USE TO BUILD], LUN)</f>
        <v>0</v>
      </c>
      <c r="BP151" s="130"/>
      <c r="BQ151" s="131"/>
      <c r="BR151" s="125" t="s">
        <v>76</v>
      </c>
      <c r="BS151" s="110">
        <f>IF(HostBuild[Existing Server?]&lt;&gt;"Yes - Inside this BoM",IF(ISNUMBER(HostBuild[RAM 
(GB)]),IF(HostBuild[Existing RAM (GB)]+HostBuild[RAM 
(GB)]&gt;0,IF(HostBuild[Virtual Platform Storage Type]="NAS",110+HostBuild[Existing RAM (GB)]+HostBuild[RAM 
(GB)]*1.75,0),0),0),0)</f>
        <v>0</v>
      </c>
      <c r="BT151" s="111"/>
      <c r="BU151" s="112">
        <f>IF(ISNUMBER(HostBuild[Recommended NAS (GB)]),HostBuild[Recommended NAS (GB)])+HostBuild[Additional NAS (GB)]</f>
        <v>0</v>
      </c>
      <c r="BV151" s="50"/>
      <c r="BW151" s="50"/>
      <c r="BX151" s="133">
        <f>IFERROR((HostBuild[SAN (GB)
End-State
DO NOT USE TO BUILD]+HostBuild[SAN (GB) Shared])*25%,"")</f>
        <v>0</v>
      </c>
      <c r="BY151" s="113">
        <f>IFERROR(HostBuild[Archive
Full (GB)]*15%,"")</f>
        <v>0</v>
      </c>
      <c r="BZ151" s="51"/>
      <c r="CA151" s="51"/>
      <c r="CB151" s="52"/>
      <c r="CC151" s="53"/>
      <c r="CD151" s="52"/>
      <c r="CE151" s="54"/>
      <c r="CF151" s="128"/>
      <c r="CG151" s="114"/>
      <c r="CH151" s="55"/>
      <c r="CI151" s="56"/>
      <c r="CJ151" s="57"/>
      <c r="CK151" s="58"/>
      <c r="CL151" s="59">
        <f>IFERROR(IF(FIND(CL$1,$W151)&gt;0,IF(INDEX([1]!Product_Pricing_Table[#Data],MATCH(CL$1,Products,0),2)="Cores",IF(HostBuild[Use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1" s="59">
        <f>IFERROR(IF(FIND(CM$1,$W151)&gt;0,IF(INDEX([1]!Product_Pricing_Table[#Data],MATCH(CM$1,Products,0),2)="Cores",IF(HostBuild[Use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1" s="59">
        <f>IFERROR(IF(FIND(CN$1,$W151)&gt;0,IF(INDEX([1]!Product_Pricing_Table[#Data],MATCH(CN$1,Products,0),2)="Cores",IF(HostBuild[Use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1" s="59">
        <f>IFERROR(IF(FIND(CO$1,$W151)&gt;0,IF(INDEX([1]!Product_Pricing_Table[#Data],MATCH(CO$1,Products,0),2)="Cores",IF(HostBuild[Use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1" s="59">
        <f>IFERROR(IF(FIND(CP$1,$W151)&gt;0,IF(INDEX([1]!Product_Pricing_Table[#Data],MATCH(CP$1,Products,0),2)="Cores",IF(HostBuild[Use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1" s="59">
        <f>IFERROR(IF(FIND(CQ$1,$W151)&gt;0,IF(INDEX([1]!Product_Pricing_Table[#Data],MATCH(CQ$1,Products,0),2)="Cores",IF(HostBuild[Use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1" s="59">
        <f>IFERROR(IF(FIND(CR$1,$W151)&gt;0,IF(INDEX([1]!Product_Pricing_Table[#Data],MATCH(CR$1,Products,0),2)="Cores",IF(HostBuild[Use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1" s="59">
        <f>IFERROR(IF(FIND(CS$1,$W151)&gt;0,IF(INDEX([1]!Product_Pricing_Table[#Data],MATCH(CS$1,Products,0),2)="Cores",IF(HostBuild[Use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1" s="59">
        <f>IFERROR(IF(FIND(CT$1,$W151)&gt;0,IF(INDEX([1]!Product_Pricing_Table[#Data],MATCH(CT$1,Products,0),2)="Cores",IF(HostBuild[Use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1" s="59">
        <f>IFERROR(IF(FIND(CU$1,$W151)&gt;0,IF(INDEX([1]!Product_Pricing_Table[#Data],MATCH(CU$1,Products,0),2)="Cores",IF(HostBuild[Use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1" s="59">
        <f>IFERROR(IF(FIND(CV$1,$W151)&gt;0,IF(INDEX([1]!Product_Pricing_Table[#Data],MATCH(CV$1,Products,0),2)="Cores",IF(HostBuild[Use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1" s="59">
        <f>IFERROR(IF(FIND(CW$1,$W151)&gt;0,IF(INDEX([1]!Product_Pricing_Table[#Data],MATCH(CW$1,Products,0),2)="Cores",IF(HostBuild[Use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1" s="59">
        <f>IFERROR(IF(FIND(CX$1,$W151)&gt;0,IF(INDEX([1]!Product_Pricing_Table[#Data],MATCH(CX$1,Products,0),2)="Cores",IF(HostBuild[Use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1" s="59">
        <f>IFERROR(IF(FIND(CY$1,$W151)&gt;0,IF(INDEX([1]!Product_Pricing_Table[#Data],MATCH(CY$1,Products,0),2)="Cores",IF(HostBuild[Use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1" s="59">
        <f>IFERROR(IF(FIND(CZ$1,$W151)&gt;0,IF(INDEX([1]!Product_Pricing_Table[#Data],MATCH(CZ$1,Products,0),2)="Cores",IF(HostBuild[Use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1" s="59">
        <f>IFERROR(IF(FIND(DA$1,$W151)&gt;0,IF(INDEX([1]!Product_Pricing_Table[#Data],MATCH(DA$1,Products,0),2)="Cores",IF(HostBuild[Use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1" s="59">
        <f>IFERROR(IF(FIND(DB$1,$W151)&gt;0,IF(INDEX([1]!Product_Pricing_Table[#Data],MATCH(DB$1,Products,0),2)="Cores",IF(HostBuild[Use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1" s="59">
        <f>IFERROR(IF(FIND(DC$1,$W151)&gt;0,IF(INDEX([1]!Product_Pricing_Table[#Data],MATCH(DC$1,Products,0),2)="Cores",IF(HostBuild[Use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1" s="59">
        <f>IFERROR(IF(FIND(DD$1,$W151)&gt;0,IF(INDEX([1]!Product_Pricing_Table[#Data],MATCH(DD$1,Products,0),2)="Cores",IF(HostBuild[Use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1" s="59">
        <f>IFERROR(IF(FIND(DE$1,$W151)&gt;0,IF(INDEX([1]!Product_Pricing_Table[#Data],MATCH(DE$1,Products,0),2)="Cores",IF(HostBuild[Use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1" s="60">
        <f>IFERROR(IF(FIND(DF$1,$W151)&gt;0,IF(INDEX([1]!Product_Pricing_Table[#Data],MATCH(DF$1,Products,0),2)="Cores",IF(HostBuild[Use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1" s="60">
        <f>IFERROR(IF(FIND(DG$1,$W151)&gt;0,IF(INDEX([1]!Product_Pricing_Table[#Data],MATCH(DG$1,Products,0),2)="Cores",IF(HostBuild[Use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1" s="59">
        <f>IFERROR(IF(FIND(DH$1,$W151)&gt;0,IF(INDEX([1]!Product_Pricing_Table[#Data],MATCH(DH$1,Products,0),2)="Cores",IF(HostBuild[Use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1" s="60">
        <f>IFERROR(IF(FIND(DI$1,$W151)&gt;0,IF(INDEX([1]!Product_Pricing_Table[#Data],MATCH(DI$1,Products,0),2)="Cores",IF(HostBuild[Use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1" s="59">
        <f>IFERROR(IF(FIND(DJ$1,$W151)&gt;0,IF(INDEX([1]!Product_Pricing_Table[#Data],MATCH(DJ$1,Products,0),2)="Cores",IF(HostBuild[Use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1" s="59">
        <f>IFERROR(IF(FIND(DK$1,$W151)&gt;0,IF(INDEX([1]!Product_Pricing_Table[#Data],MATCH(DK$1,Products,0),2)="Cores",IF(HostBuild[Use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1" s="59">
        <f>IFERROR(IF(FIND(DL$1,$W151)&gt;0,IF(INDEX([1]!Product_Pricing_Table[#Data],MATCH(DL$1,Products,0),2)="Cores",IF(HostBuild[Use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1" s="59">
        <f>IFERROR(IF(FIND(DM$1,$W151)&gt;0,IF(INDEX([1]!Product_Pricing_Table[#Data],MATCH(DM$1,Products,0),2)="Cores",IF(HostBuild[Use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1" s="59">
        <f>IFERROR(IF(FIND(DN$1,$W151)&gt;0,IF(INDEX([1]!Product_Pricing_Table[#Data],MATCH(DN$1,Products,0),2)="Cores",IF(HostBuild[Use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1" s="59">
        <f>IFERROR(IF(FIND(DO$1,$W151)&gt;0,IF(INDEX([1]!Product_Pricing_Table[#Data],MATCH(DO$1,Products,0),2)="Cores",IF(HostBuild[Use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1" s="59">
        <f>IFERROR(IF(FIND(DP$1,$W151)&gt;0,IF(INDEX([1]!Product_Pricing_Table[#Data],MATCH(DP$1,Products,0),2)="Cores",IF(HostBuild[Use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1" s="59">
        <f>IFERROR(IF(FIND(DQ$1,$W151)&gt;0,IF(INDEX([1]!Product_Pricing_Table[#Data],MATCH(DQ$1,Products,0),2)="Cores",IF(HostBuild[Use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1" s="59">
        <f>IFERROR(IF(FIND(DR$1,$W151)&gt;0,IF(INDEX([1]!Product_Pricing_Table[#Data],MATCH(DR$1,Products,0),2)="Cores",IF(HostBuild[Use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1" s="59">
        <f>IFERROR(IF(FIND(DS$1,$W151)&gt;0,IF(INDEX([1]!Product_Pricing_Table[#Data],MATCH(DS$1,Products,0),2)="Cores",IF(HostBuild[Use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1" s="59">
        <f>IFERROR(IF(FIND(DT$1,$W151)&gt;0,IF(INDEX([1]!Product_Pricing_Table[#Data],MATCH(DT$1,Products,0),2)="Cores",IF(HostBuild[Use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1" s="59">
        <f>IFERROR(IF(FIND(DU$1,$W151)&gt;0,IF(INDEX([1]!Product_Pricing_Table[#Data],MATCH(DU$1,Products,0),2)="Cores",IF(HostBuild[Use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1" s="59">
        <f>IFERROR(IF(FIND(DV$1,$W151)&gt;0,IF(INDEX([1]!Product_Pricing_Table[#Data],MATCH(DV$1,Products,0),2)="Cores",IF(HostBuild[Use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1" s="59">
        <f>IFERROR(IF(FIND(DW$1,$W151)&gt;0,IF(INDEX([1]!Product_Pricing_Table[#Data],MATCH(DW$1,Products,0),2)="Cores",IF(HostBuild[Use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1" s="59">
        <f>IFERROR(IF(FIND(DX$1,$W151)&gt;0,IF(INDEX([1]!Product_Pricing_Table[#Data],MATCH(DX$1,Products,0),2)="Cores",IF(HostBuild[Use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1" s="59">
        <f>IFERROR(IF(FIND(DY$1,$W151)&gt;0,IF(INDEX([1]!Product_Pricing_Table[#Data],MATCH(DY$1,Products,0),2)="Cores",IF(HostBuild[Use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1" s="59">
        <f>IFERROR(IF(FIND(DZ$1,$W151)&gt;0,IF(INDEX([1]!Product_Pricing_Table[#Data],MATCH(DZ$1,Products,0),2)="Cores",IF(HostBuild[Use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1" s="59">
        <f>IFERROR(IF(FIND(EA$1,$W151)&gt;0,IF(INDEX([1]!Product_Pricing_Table[#Data],MATCH(EA$1,Products,0),2)="Cores",IF(HostBuild[Use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1" s="59">
        <f>IFERROR(IF(FIND(EB$1,$W151)&gt;0,IF(INDEX([1]!Product_Pricing_Table[#Data],MATCH(EB$1,Products,0),2)="Cores",IF(HostBuild[Use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1" s="60">
        <f>IFERROR(IF(FIND(EC$1,$W151)&gt;0,IF(INDEX([1]!Product_Pricing_Table[#Data],MATCH(EC$1,Products,0),2)="Cores",IF(HostBuild[Use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1" s="59">
        <f>IFERROR(IF(FIND(ED$1,$W151)&gt;0,IF(INDEX([1]!Product_Pricing_Table[#Data],MATCH(ED$1,Products,0),2)="Cores",IF(HostBuild[Use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1" s="59">
        <f>IFERROR(IF(FIND(EE$1,$W151)&gt;0,IF(INDEX([1]!Product_Pricing_Table[#Data],MATCH(EE$1,Products,0),2)="Cores",IF(HostBuild[Use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1" s="59">
        <f>IFERROR(IF(FIND(EF$1,$W151)&gt;0,IF(INDEX([1]!Product_Pricing_Table[#Data],MATCH(EF$1,Products,0),2)="Cores",IF(HostBuild[Use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1" s="59">
        <f>IFERROR(IF(FIND(EG$1,$W151)&gt;0,IF(INDEX([1]!Product_Pricing_Table[#Data],MATCH(EG$1,Products,0),2)="Cores",IF(HostBuild[Use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1" s="59">
        <f>IFERROR(IF(FIND(EH$1,$W151)&gt;0,IF(INDEX([1]!Product_Pricing_Table[#Data],MATCH(EH$1,Products,0),2)="Cores",IF(HostBuild[Use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1" s="59">
        <f>IFERROR(IF(FIND(EI$1,$W151)&gt;0,IF(INDEX([1]!Product_Pricing_Table[#Data],MATCH(EI$1,Products,0),2)="Cores",IF(HostBuild[Use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1" s="59">
        <f>IFERROR(IF(FIND(EJ$1,$W151)&gt;0,IF(INDEX([1]!Product_Pricing_Table[#Data],MATCH(EJ$1,Products,0),2)="Cores",IF(HostBuild[Use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1" s="60">
        <f>IFERROR(IF(FIND(EK$1,$W151)&gt;0,IF(INDEX([1]!Product_Pricing_Table[#Data],MATCH(EK$1,Products,0),2)="Cores",IF(HostBuild[Use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1" s="61"/>
      <c r="EM151" s="62"/>
      <c r="EN151" s="63"/>
      <c r="EO151"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1" s="132">
        <f>(HostBuild[Archive
Full (GB)]+HostBuild[Archive
Incr (GB)])*Storage_DC_Dist_Tape_2014</f>
        <v>0</v>
      </c>
      <c r="ER151" s="132">
        <f>IF(ISNUMBER(HostBuild[Server HW Costs
(Monthly)]),SUM(HostBuild[[#This Row],[Server HW Costs
(Monthly)]:[Tape Costs
(Monthly)]]),0)</f>
        <v>0</v>
      </c>
      <c r="ES151" s="65">
        <f>HostBuild[Software Costs
'[Year 1']
(Monthly)]+HostBuild[Total Hardware Costs
(Monthly)]</f>
        <v>0</v>
      </c>
      <c r="ET151" s="65">
        <f>IFERROR(IF(FIND("Safenet",HostBuild[Server Model]),Safenet_PSE_PL600_Maint,0),0)+IFERROR(IF(FIND("XI52",HostBuild[Server Model]),IBM_DIA_XI52_Maint,0),0)+HostBuild[Software Costs
'[After Year 1']
(Monthly)]+HostBuild[Total Hardware Costs
(Monthly)]</f>
        <v>0</v>
      </c>
      <c r="EU151" s="66">
        <f>SUM(HostBuild[[#This Row],[Server Cost Breakdown]:[Network Cost]])</f>
        <v>0</v>
      </c>
      <c r="EV151" s="67">
        <f>IF(HostBuild[Existing Server?]="Yes - Inside this BoM",0,SUMIF(HostBuild[Alias],HostBuild[Alias],HostBuild[CPU])+SUMIF(HostBuild[Alias],HostBuild[Alias],HostBuild[Existing CPUs]))</f>
        <v>0</v>
      </c>
      <c r="EW151" s="67">
        <f>IF(HostBuild[Existing Server?]="Yes - Inside this BoM",0,SUMIF(HostBuild[Alias],HostBuild[Alias],HostBuild[Cores 
(Licensed Units)])+SUMIF(HostBuild[Alias],HostBuild[Alias],HostBuild[Existing Cores]))</f>
        <v>0</v>
      </c>
      <c r="EX151" s="67">
        <f>IF(HostBuild[Existing Server?]="Yes - Inside this BoM",0,SUMIF(HostBuild[Alias],HostBuild[Alias],HostBuild[RAM 
(GB)])+SUMIF(HostBuild[Alias],HostBuild[Alias],HostBuild[Existing RAM (GB)]))</f>
        <v>0</v>
      </c>
      <c r="EY15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1" s="66">
        <f>IF(ISBLANK(HostBuild[Server Model]),0,IF(HostBuild[Server Tier]="VMware",0,VLOOKUP(HostBuild[Server Tier],[1]!ServerTierRates[#Data],2,0))*HostBuild[CPU]*IF(AND(HostBuild[Server Type]="pSeries",HostBuild[Virtual Platform Storage Type]="Cloud-SAN"),0.25,1))</f>
        <v>0</v>
      </c>
      <c r="FD151" s="66">
        <f>0</f>
        <v>0</v>
      </c>
      <c r="FE151" s="66">
        <f>IF(HostBuild[Server Type]="VMware",HostBuild[RAM 
(GB)]*IF(ISERROR(FIND("DevCloud", HostBuild[Server Model])&gt;0),vRAM_per_vCPU_2014_Monthly,vRAM_per_vCPU_2014_Daily*30),0)</f>
        <v>0</v>
      </c>
      <c r="FF15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1" s="69">
        <f>IF(HostBuild[Server Tier]="VMware",0,IF(LEFT(HostBuild[Existing Server?],3)="Yes",0,IF(OR(HostBuild[Server Type]="Sun",HostBuild[Server Type]="pSeries"),Support_Direct_Server_Sun_per_OS_2014,IF(HostBuild[Server Type]="x86",Support_Direct_Server_x86_Wintel_per_OS_2014,0))))</f>
        <v>0</v>
      </c>
      <c r="FI15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2" spans="1:165" hidden="1">
      <c r="A152" s="122" t="s">
        <v>53</v>
      </c>
      <c r="B152" s="36"/>
      <c r="C152" s="36"/>
      <c r="D152" s="36"/>
      <c r="E152" s="37"/>
      <c r="F152" s="37"/>
      <c r="G152" s="103"/>
      <c r="H152" s="103"/>
      <c r="I152" s="38"/>
      <c r="J152" s="37"/>
      <c r="K152" s="37"/>
      <c r="L152" s="37"/>
      <c r="M152" s="103" t="e">
        <f ca="1">IF(rngIsDate(HostBuild[CTO Acceptance]),"Y","N")</f>
        <v>#NAME?</v>
      </c>
      <c r="N152" s="123" t="s">
        <v>4</v>
      </c>
      <c r="O152" s="39"/>
      <c r="P152" s="39"/>
      <c r="Q152" s="123" t="s">
        <v>0</v>
      </c>
      <c r="R152" s="126" t="str">
        <f>IF(NOT(ISBLANK(HostBuild[Env Label])),IFERROR(VLOOKUP(HostBuild[Env Label],[1]!tEnv[#Data],3,FALSE),""),"")</f>
        <v/>
      </c>
      <c r="S152" s="104"/>
      <c r="T152" s="40"/>
      <c r="U152" s="105"/>
      <c r="V152" s="123" t="s">
        <v>386</v>
      </c>
      <c r="W152" s="123"/>
      <c r="X152" s="123"/>
      <c r="Y152" s="123" t="s">
        <v>188</v>
      </c>
      <c r="Z152" s="126" t="str">
        <f>IF(NOT(ISBLANK(HostBuild[[#This Row],[Product 
(Acronym)]])),CONCATENATE(HostBuild[[#This Row],[Type]],"-",HostBuild[[#This Row],[Product 
(Acronym)]]),"")</f>
        <v>-CBOL</v>
      </c>
      <c r="AA152" s="106"/>
      <c r="AB152" s="106" t="s">
        <v>76</v>
      </c>
      <c r="AC152" s="41"/>
      <c r="AD152" s="42"/>
      <c r="AE152" s="42"/>
      <c r="AF152" s="43"/>
      <c r="AG152" s="124"/>
      <c r="AH152" s="107"/>
      <c r="AI152" s="124"/>
      <c r="AJ152" s="123">
        <f>IF(COUNTIF(HostBuild[Alias],HostBuild[Alias]),1/COUNTIF(HostBuild[Alias],HostBuild[Alias]),0)</f>
        <v>0</v>
      </c>
      <c r="AK152" s="124"/>
      <c r="AL152" s="124"/>
      <c r="AM152" s="44"/>
      <c r="AN152" s="45" t="str">
        <f>IF(NOT(ISBLANK(HostBuild[Server Model])),VLOOKUP(HostBuild[Server Model],[1]!ServerModelsTier[#Data],2,FALSE),"")</f>
        <v/>
      </c>
      <c r="AO152" s="45" t="str">
        <f>IF(NOT(ISBLANK(HostBuild[Server Model])),VLOOKUP(HostBuild[Server Model],[1]!ServerModelsTier[#Data],5,FALSE),"")</f>
        <v/>
      </c>
      <c r="AP152" s="44"/>
      <c r="AQ152" s="44"/>
      <c r="AR152" s="46"/>
      <c r="AS152" s="108"/>
      <c r="AT152" s="47"/>
      <c r="AU152" s="109" t="str">
        <f>IF(IFERROR(FIND("P-Series",HostBuild[Server Tier]),0),CEILING((HostBuild[Existing CPUs]+HostBuild[CPU])*16,8),"")</f>
        <v/>
      </c>
      <c r="AV152" s="48"/>
      <c r="AW152" s="124"/>
      <c r="AX152" s="124"/>
      <c r="AY152" s="124"/>
      <c r="AZ152" s="49"/>
      <c r="BA152" s="124"/>
      <c r="BB152" s="124"/>
      <c r="BC152" s="42"/>
      <c r="BD152" s="124"/>
      <c r="BE152" s="124"/>
      <c r="BF152" s="124"/>
      <c r="BG152" s="124"/>
      <c r="BH152" s="124"/>
      <c r="BI152" s="124"/>
      <c r="BJ152" s="124"/>
      <c r="BK152"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52" s="127"/>
      <c r="BM152" s="129">
        <f>IF(ISNUMBER(HostBuild[Recommended SAN (GB)]),HostBuild[Recommended SAN (GB)])+IF(HostBuild[Additional SAN (GB)]&gt;0,CEILING(HostBuild[Additional SAN (GB)],LUN),-(CEILING(-HostBuild[Additional SAN (GB)],LUN)))</f>
        <v>0</v>
      </c>
      <c r="BN152" s="128"/>
      <c r="BO152" s="129">
        <f>HostBuild[SAN (GB)
NEEDED TODAY]+CEILING(HostBuild[SAN (GB)
RESERVED
DO NOT USE TO BUILD], LUN)</f>
        <v>0</v>
      </c>
      <c r="BP152" s="130"/>
      <c r="BQ152" s="131"/>
      <c r="BR152" s="125" t="s">
        <v>76</v>
      </c>
      <c r="BS152" s="110">
        <f>IF(HostBuild[Existing Server?]&lt;&gt;"Yes - Inside this BoM",IF(ISNUMBER(HostBuild[RAM 
(GB)]),IF(HostBuild[Existing RAM (GB)]+HostBuild[RAM 
(GB)]&gt;0,IF(HostBuild[Virtual Platform Storage Type]="NAS",110+HostBuild[Existing RAM (GB)]+HostBuild[RAM 
(GB)]*1.75,0),0),0),0)</f>
        <v>0</v>
      </c>
      <c r="BT152" s="111"/>
      <c r="BU152" s="112">
        <f>IF(ISNUMBER(HostBuild[Recommended NAS (GB)]),HostBuild[Recommended NAS (GB)])+HostBuild[Additional NAS (GB)]</f>
        <v>0</v>
      </c>
      <c r="BV152" s="50"/>
      <c r="BW152" s="50"/>
      <c r="BX152" s="133">
        <f>IFERROR((HostBuild[SAN (GB)
End-State
DO NOT USE TO BUILD]+HostBuild[SAN (GB) Shared])*25%,"")</f>
        <v>0</v>
      </c>
      <c r="BY152" s="113">
        <f>IFERROR(HostBuild[Archive
Full (GB)]*15%,"")</f>
        <v>0</v>
      </c>
      <c r="BZ152" s="51"/>
      <c r="CA152" s="51"/>
      <c r="CB152" s="52"/>
      <c r="CC152" s="53"/>
      <c r="CD152" s="52"/>
      <c r="CE152" s="54"/>
      <c r="CF152" s="128"/>
      <c r="CG152" s="114"/>
      <c r="CH152" s="55"/>
      <c r="CI152" s="56"/>
      <c r="CJ152" s="57"/>
      <c r="CK152" s="58"/>
      <c r="CL152" s="59">
        <f>IFERROR(IF(FIND(CL$1,$W152)&gt;0,IF(INDEX([1]!Product_Pricing_Table[#Data],MATCH(CL$1,Products,0),2)="Cores",IF(HostBuild[Use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2" s="59">
        <f>IFERROR(IF(FIND(CM$1,$W152)&gt;0,IF(INDEX([1]!Product_Pricing_Table[#Data],MATCH(CM$1,Products,0),2)="Cores",IF(HostBuild[Use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2" s="59">
        <f>IFERROR(IF(FIND(CN$1,$W152)&gt;0,IF(INDEX([1]!Product_Pricing_Table[#Data],MATCH(CN$1,Products,0),2)="Cores",IF(HostBuild[Use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2" s="59">
        <f>IFERROR(IF(FIND(CO$1,$W152)&gt;0,IF(INDEX([1]!Product_Pricing_Table[#Data],MATCH(CO$1,Products,0),2)="Cores",IF(HostBuild[Use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2" s="59">
        <f>IFERROR(IF(FIND(CP$1,$W152)&gt;0,IF(INDEX([1]!Product_Pricing_Table[#Data],MATCH(CP$1,Products,0),2)="Cores",IF(HostBuild[Use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2" s="59">
        <f>IFERROR(IF(FIND(CQ$1,$W152)&gt;0,IF(INDEX([1]!Product_Pricing_Table[#Data],MATCH(CQ$1,Products,0),2)="Cores",IF(HostBuild[Use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2" s="59">
        <f>IFERROR(IF(FIND(CR$1,$W152)&gt;0,IF(INDEX([1]!Product_Pricing_Table[#Data],MATCH(CR$1,Products,0),2)="Cores",IF(HostBuild[Use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2" s="59">
        <f>IFERROR(IF(FIND(CS$1,$W152)&gt;0,IF(INDEX([1]!Product_Pricing_Table[#Data],MATCH(CS$1,Products,0),2)="Cores",IF(HostBuild[Use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2" s="59">
        <f>IFERROR(IF(FIND(CT$1,$W152)&gt;0,IF(INDEX([1]!Product_Pricing_Table[#Data],MATCH(CT$1,Products,0),2)="Cores",IF(HostBuild[Use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2" s="59">
        <f>IFERROR(IF(FIND(CU$1,$W152)&gt;0,IF(INDEX([1]!Product_Pricing_Table[#Data],MATCH(CU$1,Products,0),2)="Cores",IF(HostBuild[Use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2" s="59">
        <f>IFERROR(IF(FIND(CV$1,$W152)&gt;0,IF(INDEX([1]!Product_Pricing_Table[#Data],MATCH(CV$1,Products,0),2)="Cores",IF(HostBuild[Use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2" s="59">
        <f>IFERROR(IF(FIND(CW$1,$W152)&gt;0,IF(INDEX([1]!Product_Pricing_Table[#Data],MATCH(CW$1,Products,0),2)="Cores",IF(HostBuild[Use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2" s="59">
        <f>IFERROR(IF(FIND(CX$1,$W152)&gt;0,IF(INDEX([1]!Product_Pricing_Table[#Data],MATCH(CX$1,Products,0),2)="Cores",IF(HostBuild[Use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2" s="59">
        <f>IFERROR(IF(FIND(CY$1,$W152)&gt;0,IF(INDEX([1]!Product_Pricing_Table[#Data],MATCH(CY$1,Products,0),2)="Cores",IF(HostBuild[Use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2" s="59">
        <f>IFERROR(IF(FIND(CZ$1,$W152)&gt;0,IF(INDEX([1]!Product_Pricing_Table[#Data],MATCH(CZ$1,Products,0),2)="Cores",IF(HostBuild[Use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2" s="59">
        <f>IFERROR(IF(FIND(DA$1,$W152)&gt;0,IF(INDEX([1]!Product_Pricing_Table[#Data],MATCH(DA$1,Products,0),2)="Cores",IF(HostBuild[Use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2" s="59">
        <f>IFERROR(IF(FIND(DB$1,$W152)&gt;0,IF(INDEX([1]!Product_Pricing_Table[#Data],MATCH(DB$1,Products,0),2)="Cores",IF(HostBuild[Use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2" s="59">
        <f>IFERROR(IF(FIND(DC$1,$W152)&gt;0,IF(INDEX([1]!Product_Pricing_Table[#Data],MATCH(DC$1,Products,0),2)="Cores",IF(HostBuild[Use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2" s="59">
        <f>IFERROR(IF(FIND(DD$1,$W152)&gt;0,IF(INDEX([1]!Product_Pricing_Table[#Data],MATCH(DD$1,Products,0),2)="Cores",IF(HostBuild[Use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2" s="59">
        <f>IFERROR(IF(FIND(DE$1,$W152)&gt;0,IF(INDEX([1]!Product_Pricing_Table[#Data],MATCH(DE$1,Products,0),2)="Cores",IF(HostBuild[Use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2" s="60">
        <f>IFERROR(IF(FIND(DF$1,$W152)&gt;0,IF(INDEX([1]!Product_Pricing_Table[#Data],MATCH(DF$1,Products,0),2)="Cores",IF(HostBuild[Use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2" s="60">
        <f>IFERROR(IF(FIND(DG$1,$W152)&gt;0,IF(INDEX([1]!Product_Pricing_Table[#Data],MATCH(DG$1,Products,0),2)="Cores",IF(HostBuild[Use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2" s="59">
        <f>IFERROR(IF(FIND(DH$1,$W152)&gt;0,IF(INDEX([1]!Product_Pricing_Table[#Data],MATCH(DH$1,Products,0),2)="Cores",IF(HostBuild[Use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2" s="60">
        <f>IFERROR(IF(FIND(DI$1,$W152)&gt;0,IF(INDEX([1]!Product_Pricing_Table[#Data],MATCH(DI$1,Products,0),2)="Cores",IF(HostBuild[Use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2" s="59">
        <f>IFERROR(IF(FIND(DJ$1,$W152)&gt;0,IF(INDEX([1]!Product_Pricing_Table[#Data],MATCH(DJ$1,Products,0),2)="Cores",IF(HostBuild[Use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2" s="59">
        <f>IFERROR(IF(FIND(DK$1,$W152)&gt;0,IF(INDEX([1]!Product_Pricing_Table[#Data],MATCH(DK$1,Products,0),2)="Cores",IF(HostBuild[Use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2" s="59">
        <f>IFERROR(IF(FIND(DL$1,$W152)&gt;0,IF(INDEX([1]!Product_Pricing_Table[#Data],MATCH(DL$1,Products,0),2)="Cores",IF(HostBuild[Use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2" s="59">
        <f>IFERROR(IF(FIND(DM$1,$W152)&gt;0,IF(INDEX([1]!Product_Pricing_Table[#Data],MATCH(DM$1,Products,0),2)="Cores",IF(HostBuild[Use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2" s="59">
        <f>IFERROR(IF(FIND(DN$1,$W152)&gt;0,IF(INDEX([1]!Product_Pricing_Table[#Data],MATCH(DN$1,Products,0),2)="Cores",IF(HostBuild[Use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2" s="59">
        <f>IFERROR(IF(FIND(DO$1,$W152)&gt;0,IF(INDEX([1]!Product_Pricing_Table[#Data],MATCH(DO$1,Products,0),2)="Cores",IF(HostBuild[Use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2" s="59">
        <f>IFERROR(IF(FIND(DP$1,$W152)&gt;0,IF(INDEX([1]!Product_Pricing_Table[#Data],MATCH(DP$1,Products,0),2)="Cores",IF(HostBuild[Use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2" s="59">
        <f>IFERROR(IF(FIND(DQ$1,$W152)&gt;0,IF(INDEX([1]!Product_Pricing_Table[#Data],MATCH(DQ$1,Products,0),2)="Cores",IF(HostBuild[Use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2" s="59">
        <f>IFERROR(IF(FIND(DR$1,$W152)&gt;0,IF(INDEX([1]!Product_Pricing_Table[#Data],MATCH(DR$1,Products,0),2)="Cores",IF(HostBuild[Use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2" s="59">
        <f>IFERROR(IF(FIND(DS$1,$W152)&gt;0,IF(INDEX([1]!Product_Pricing_Table[#Data],MATCH(DS$1,Products,0),2)="Cores",IF(HostBuild[Use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2" s="59">
        <f>IFERROR(IF(FIND(DT$1,$W152)&gt;0,IF(INDEX([1]!Product_Pricing_Table[#Data],MATCH(DT$1,Products,0),2)="Cores",IF(HostBuild[Use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2" s="59">
        <f>IFERROR(IF(FIND(DU$1,$W152)&gt;0,IF(INDEX([1]!Product_Pricing_Table[#Data],MATCH(DU$1,Products,0),2)="Cores",IF(HostBuild[Use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2" s="59">
        <f>IFERROR(IF(FIND(DV$1,$W152)&gt;0,IF(INDEX([1]!Product_Pricing_Table[#Data],MATCH(DV$1,Products,0),2)="Cores",IF(HostBuild[Use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2" s="59">
        <f>IFERROR(IF(FIND(DW$1,$W152)&gt;0,IF(INDEX([1]!Product_Pricing_Table[#Data],MATCH(DW$1,Products,0),2)="Cores",IF(HostBuild[Use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2" s="59">
        <f>IFERROR(IF(FIND(DX$1,$W152)&gt;0,IF(INDEX([1]!Product_Pricing_Table[#Data],MATCH(DX$1,Products,0),2)="Cores",IF(HostBuild[Use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2" s="59">
        <f>IFERROR(IF(FIND(DY$1,$W152)&gt;0,IF(INDEX([1]!Product_Pricing_Table[#Data],MATCH(DY$1,Products,0),2)="Cores",IF(HostBuild[Use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2" s="59">
        <f>IFERROR(IF(FIND(DZ$1,$W152)&gt;0,IF(INDEX([1]!Product_Pricing_Table[#Data],MATCH(DZ$1,Products,0),2)="Cores",IF(HostBuild[Use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2" s="59">
        <f>IFERROR(IF(FIND(EA$1,$W152)&gt;0,IF(INDEX([1]!Product_Pricing_Table[#Data],MATCH(EA$1,Products,0),2)="Cores",IF(HostBuild[Use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2" s="59">
        <f>IFERROR(IF(FIND(EB$1,$W152)&gt;0,IF(INDEX([1]!Product_Pricing_Table[#Data],MATCH(EB$1,Products,0),2)="Cores",IF(HostBuild[Use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2" s="60">
        <f>IFERROR(IF(FIND(EC$1,$W152)&gt;0,IF(INDEX([1]!Product_Pricing_Table[#Data],MATCH(EC$1,Products,0),2)="Cores",IF(HostBuild[Use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2" s="59">
        <f>IFERROR(IF(FIND(ED$1,$W152)&gt;0,IF(INDEX([1]!Product_Pricing_Table[#Data],MATCH(ED$1,Products,0),2)="Cores",IF(HostBuild[Use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2" s="59">
        <f>IFERROR(IF(FIND(EE$1,$W152)&gt;0,IF(INDEX([1]!Product_Pricing_Table[#Data],MATCH(EE$1,Products,0),2)="Cores",IF(HostBuild[Use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2" s="59">
        <f>IFERROR(IF(FIND(EF$1,$W152)&gt;0,IF(INDEX([1]!Product_Pricing_Table[#Data],MATCH(EF$1,Products,0),2)="Cores",IF(HostBuild[Use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2" s="59">
        <f>IFERROR(IF(FIND(EG$1,$W152)&gt;0,IF(INDEX([1]!Product_Pricing_Table[#Data],MATCH(EG$1,Products,0),2)="Cores",IF(HostBuild[Use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2" s="59">
        <f>IFERROR(IF(FIND(EH$1,$W152)&gt;0,IF(INDEX([1]!Product_Pricing_Table[#Data],MATCH(EH$1,Products,0),2)="Cores",IF(HostBuild[Use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2" s="59">
        <f>IFERROR(IF(FIND(EI$1,$W152)&gt;0,IF(INDEX([1]!Product_Pricing_Table[#Data],MATCH(EI$1,Products,0),2)="Cores",IF(HostBuild[Use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2" s="59">
        <f>IFERROR(IF(FIND(EJ$1,$W152)&gt;0,IF(INDEX([1]!Product_Pricing_Table[#Data],MATCH(EJ$1,Products,0),2)="Cores",IF(HostBuild[Use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2" s="60">
        <f>IFERROR(IF(FIND(EK$1,$W152)&gt;0,IF(INDEX([1]!Product_Pricing_Table[#Data],MATCH(EK$1,Products,0),2)="Cores",IF(HostBuild[Use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2" s="61"/>
      <c r="EM152" s="62"/>
      <c r="EN152" s="63"/>
      <c r="EO152"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2" s="132">
        <f>(HostBuild[Archive
Full (GB)]+HostBuild[Archive
Incr (GB)])*Storage_DC_Dist_Tape_2014</f>
        <v>0</v>
      </c>
      <c r="ER152" s="132">
        <f>IF(ISNUMBER(HostBuild[Server HW Costs
(Monthly)]),SUM(HostBuild[[#This Row],[Server HW Costs
(Monthly)]:[Tape Costs
(Monthly)]]),0)</f>
        <v>0</v>
      </c>
      <c r="ES152" s="65">
        <f>HostBuild[Software Costs
'[Year 1']
(Monthly)]+HostBuild[Total Hardware Costs
(Monthly)]</f>
        <v>0</v>
      </c>
      <c r="ET152" s="65">
        <f>IFERROR(IF(FIND("Safenet",HostBuild[Server Model]),Safenet_PSE_PL600_Maint,0),0)+IFERROR(IF(FIND("XI52",HostBuild[Server Model]),IBM_DIA_XI52_Maint,0),0)+HostBuild[Software Costs
'[After Year 1']
(Monthly)]+HostBuild[Total Hardware Costs
(Monthly)]</f>
        <v>0</v>
      </c>
      <c r="EU152" s="66">
        <f>SUM(HostBuild[[#This Row],[Server Cost Breakdown]:[Network Cost]])</f>
        <v>0</v>
      </c>
      <c r="EV152" s="67">
        <f>IF(HostBuild[Existing Server?]="Yes - Inside this BoM",0,SUMIF(HostBuild[Alias],HostBuild[Alias],HostBuild[CPU])+SUMIF(HostBuild[Alias],HostBuild[Alias],HostBuild[Existing CPUs]))</f>
        <v>0</v>
      </c>
      <c r="EW152" s="67">
        <f>IF(HostBuild[Existing Server?]="Yes - Inside this BoM",0,SUMIF(HostBuild[Alias],HostBuild[Alias],HostBuild[Cores 
(Licensed Units)])+SUMIF(HostBuild[Alias],HostBuild[Alias],HostBuild[Existing Cores]))</f>
        <v>0</v>
      </c>
      <c r="EX152" s="67">
        <f>IF(HostBuild[Existing Server?]="Yes - Inside this BoM",0,SUMIF(HostBuild[Alias],HostBuild[Alias],HostBuild[RAM 
(GB)])+SUMIF(HostBuild[Alias],HostBuild[Alias],HostBuild[Existing RAM (GB)]))</f>
        <v>0</v>
      </c>
      <c r="EY15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2" s="66">
        <f>IF(ISBLANK(HostBuild[Server Model]),0,IF(HostBuild[Server Tier]="VMware",0,VLOOKUP(HostBuild[Server Tier],[1]!ServerTierRates[#Data],2,0))*HostBuild[CPU]*IF(AND(HostBuild[Server Type]="pSeries",HostBuild[Virtual Platform Storage Type]="Cloud-SAN"),0.25,1))</f>
        <v>0</v>
      </c>
      <c r="FD152" s="66">
        <f>0</f>
        <v>0</v>
      </c>
      <c r="FE152" s="66">
        <f>IF(HostBuild[Server Type]="VMware",HostBuild[RAM 
(GB)]*IF(ISERROR(FIND("DevCloud", HostBuild[Server Model])&gt;0),vRAM_per_vCPU_2014_Monthly,vRAM_per_vCPU_2014_Daily*30),0)</f>
        <v>0</v>
      </c>
      <c r="FF15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2" s="69">
        <f>IF(HostBuild[Server Tier]="VMware",0,IF(LEFT(HostBuild[Existing Server?],3)="Yes",0,IF(OR(HostBuild[Server Type]="Sun",HostBuild[Server Type]="pSeries"),Support_Direct_Server_Sun_per_OS_2014,IF(HostBuild[Server Type]="x86",Support_Direct_Server_x86_Wintel_per_OS_2014,0))))</f>
        <v>0</v>
      </c>
      <c r="FI15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3" spans="1:165" hidden="1">
      <c r="A153" s="122" t="s">
        <v>53</v>
      </c>
      <c r="B153" s="36"/>
      <c r="C153" s="36"/>
      <c r="D153" s="36"/>
      <c r="E153" s="37"/>
      <c r="F153" s="37"/>
      <c r="G153" s="103"/>
      <c r="H153" s="103"/>
      <c r="I153" s="38"/>
      <c r="J153" s="37"/>
      <c r="K153" s="37"/>
      <c r="L153" s="37"/>
      <c r="M153" s="103" t="e">
        <f ca="1">IF(rngIsDate(HostBuild[CTO Acceptance]),"Y","N")</f>
        <v>#NAME?</v>
      </c>
      <c r="N153" s="123" t="s">
        <v>3</v>
      </c>
      <c r="O153" s="39"/>
      <c r="P153" s="39"/>
      <c r="Q153" s="123" t="s">
        <v>189</v>
      </c>
      <c r="R153" s="126" t="str">
        <f>IF(NOT(ISBLANK(HostBuild[Env Label])),IFERROR(VLOOKUP(HostBuild[Env Label],[1]!tEnv[#Data],3,FALSE),""),"")</f>
        <v/>
      </c>
      <c r="S153" s="104"/>
      <c r="T153" s="40"/>
      <c r="U153" s="105"/>
      <c r="V153" s="123" t="s">
        <v>386</v>
      </c>
      <c r="W153" s="123"/>
      <c r="X153" s="123"/>
      <c r="Y153" s="123" t="s">
        <v>188</v>
      </c>
      <c r="Z153" s="126" t="str">
        <f>IF(NOT(ISBLANK(HostBuild[[#This Row],[Product 
(Acronym)]])),CONCATENATE(HostBuild[[#This Row],[Type]],"-",HostBuild[[#This Row],[Product 
(Acronym)]]),"")</f>
        <v>-CBOL</v>
      </c>
      <c r="AA153" s="106"/>
      <c r="AB153" s="106" t="s">
        <v>76</v>
      </c>
      <c r="AC153" s="41"/>
      <c r="AD153" s="42"/>
      <c r="AE153" s="42"/>
      <c r="AF153" s="43"/>
      <c r="AG153" s="124"/>
      <c r="AH153" s="107"/>
      <c r="AI153" s="124"/>
      <c r="AJ153" s="123">
        <f>IF(COUNTIF(HostBuild[Alias],HostBuild[Alias]),1/COUNTIF(HostBuild[Alias],HostBuild[Alias]),0)</f>
        <v>0</v>
      </c>
      <c r="AK153" s="124"/>
      <c r="AL153" s="124"/>
      <c r="AM153" s="44"/>
      <c r="AN153" s="45" t="str">
        <f>IF(NOT(ISBLANK(HostBuild[Server Model])),VLOOKUP(HostBuild[Server Model],[1]!ServerModelsTier[#Data],2,FALSE),"")</f>
        <v/>
      </c>
      <c r="AO153" s="45" t="str">
        <f>IF(NOT(ISBLANK(HostBuild[Server Model])),VLOOKUP(HostBuild[Server Model],[1]!ServerModelsTier[#Data],5,FALSE),"")</f>
        <v/>
      </c>
      <c r="AP153" s="44"/>
      <c r="AQ153" s="44"/>
      <c r="AR153" s="46"/>
      <c r="AS153" s="108"/>
      <c r="AT153" s="47"/>
      <c r="AU153" s="109" t="str">
        <f>IF(IFERROR(FIND("P-Series",HostBuild[Server Tier]),0),CEILING((HostBuild[Existing CPUs]+HostBuild[CPU])*16,8),"")</f>
        <v/>
      </c>
      <c r="AV153" s="48"/>
      <c r="AW153" s="124"/>
      <c r="AX153" s="124"/>
      <c r="AY153" s="124"/>
      <c r="AZ153" s="49"/>
      <c r="BA153" s="124"/>
      <c r="BB153" s="124"/>
      <c r="BC153" s="42"/>
      <c r="BD153" s="124"/>
      <c r="BE153" s="124"/>
      <c r="BF153" s="124"/>
      <c r="BG153" s="124"/>
      <c r="BH153" s="124"/>
      <c r="BI153" s="124"/>
      <c r="BJ153" s="124"/>
      <c r="BK153"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53" s="127"/>
      <c r="BM153" s="129">
        <f>IF(ISNUMBER(HostBuild[Recommended SAN (GB)]),HostBuild[Recommended SAN (GB)])+IF(HostBuild[Additional SAN (GB)]&gt;0,CEILING(HostBuild[Additional SAN (GB)],LUN),-(CEILING(-HostBuild[Additional SAN (GB)],LUN)))</f>
        <v>0</v>
      </c>
      <c r="BN153" s="128"/>
      <c r="BO153" s="129">
        <f>HostBuild[SAN (GB)
NEEDED TODAY]+CEILING(HostBuild[SAN (GB)
RESERVED
DO NOT USE TO BUILD], LUN)</f>
        <v>0</v>
      </c>
      <c r="BP153" s="130"/>
      <c r="BQ153" s="131"/>
      <c r="BR153" s="125" t="s">
        <v>76</v>
      </c>
      <c r="BS153" s="110">
        <f>IF(HostBuild[Existing Server?]&lt;&gt;"Yes - Inside this BoM",IF(ISNUMBER(HostBuild[RAM 
(GB)]),IF(HostBuild[Existing RAM (GB)]+HostBuild[RAM 
(GB)]&gt;0,IF(HostBuild[Virtual Platform Storage Type]="NAS",110+HostBuild[Existing RAM (GB)]+HostBuild[RAM 
(GB)]*1.75,0),0),0),0)</f>
        <v>0</v>
      </c>
      <c r="BT153" s="111"/>
      <c r="BU153" s="112">
        <f>IF(ISNUMBER(HostBuild[Recommended NAS (GB)]),HostBuild[Recommended NAS (GB)])+HostBuild[Additional NAS (GB)]</f>
        <v>0</v>
      </c>
      <c r="BV153" s="50"/>
      <c r="BW153" s="50"/>
      <c r="BX153" s="133">
        <f>IFERROR((HostBuild[SAN (GB)
End-State
DO NOT USE TO BUILD]+HostBuild[SAN (GB) Shared])*25%,"")</f>
        <v>0</v>
      </c>
      <c r="BY153" s="113">
        <f>IFERROR(HostBuild[Archive
Full (GB)]*15%,"")</f>
        <v>0</v>
      </c>
      <c r="BZ153" s="51"/>
      <c r="CA153" s="51"/>
      <c r="CB153" s="52"/>
      <c r="CC153" s="53"/>
      <c r="CD153" s="52"/>
      <c r="CE153" s="54"/>
      <c r="CF153" s="128"/>
      <c r="CG153" s="114"/>
      <c r="CH153" s="55"/>
      <c r="CI153" s="56"/>
      <c r="CJ153" s="57"/>
      <c r="CK153" s="58"/>
      <c r="CL153" s="59">
        <f>IFERROR(IF(FIND(CL$1,$W153)&gt;0,IF(INDEX([1]!Product_Pricing_Table[#Data],MATCH(CL$1,Products,0),2)="Cores",IF(HostBuild[Use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3" s="59">
        <f>IFERROR(IF(FIND(CM$1,$W153)&gt;0,IF(INDEX([1]!Product_Pricing_Table[#Data],MATCH(CM$1,Products,0),2)="Cores",IF(HostBuild[Use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3" s="59">
        <f>IFERROR(IF(FIND(CN$1,$W153)&gt;0,IF(INDEX([1]!Product_Pricing_Table[#Data],MATCH(CN$1,Products,0),2)="Cores",IF(HostBuild[Use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3" s="59">
        <f>IFERROR(IF(FIND(CO$1,$W153)&gt;0,IF(INDEX([1]!Product_Pricing_Table[#Data],MATCH(CO$1,Products,0),2)="Cores",IF(HostBuild[Use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3" s="59">
        <f>IFERROR(IF(FIND(CP$1,$W153)&gt;0,IF(INDEX([1]!Product_Pricing_Table[#Data],MATCH(CP$1,Products,0),2)="Cores",IF(HostBuild[Use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3" s="59">
        <f>IFERROR(IF(FIND(CQ$1,$W153)&gt;0,IF(INDEX([1]!Product_Pricing_Table[#Data],MATCH(CQ$1,Products,0),2)="Cores",IF(HostBuild[Use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3" s="59">
        <f>IFERROR(IF(FIND(CR$1,$W153)&gt;0,IF(INDEX([1]!Product_Pricing_Table[#Data],MATCH(CR$1,Products,0),2)="Cores",IF(HostBuild[Use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3" s="59">
        <f>IFERROR(IF(FIND(CS$1,$W153)&gt;0,IF(INDEX([1]!Product_Pricing_Table[#Data],MATCH(CS$1,Products,0),2)="Cores",IF(HostBuild[Use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3" s="59">
        <f>IFERROR(IF(FIND(CT$1,$W153)&gt;0,IF(INDEX([1]!Product_Pricing_Table[#Data],MATCH(CT$1,Products,0),2)="Cores",IF(HostBuild[Use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3" s="59">
        <f>IFERROR(IF(FIND(CU$1,$W153)&gt;0,IF(INDEX([1]!Product_Pricing_Table[#Data],MATCH(CU$1,Products,0),2)="Cores",IF(HostBuild[Use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3" s="59">
        <f>IFERROR(IF(FIND(CV$1,$W153)&gt;0,IF(INDEX([1]!Product_Pricing_Table[#Data],MATCH(CV$1,Products,0),2)="Cores",IF(HostBuild[Use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3" s="59">
        <f>IFERROR(IF(FIND(CW$1,$W153)&gt;0,IF(INDEX([1]!Product_Pricing_Table[#Data],MATCH(CW$1,Products,0),2)="Cores",IF(HostBuild[Use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3" s="59">
        <f>IFERROR(IF(FIND(CX$1,$W153)&gt;0,IF(INDEX([1]!Product_Pricing_Table[#Data],MATCH(CX$1,Products,0),2)="Cores",IF(HostBuild[Use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3" s="59">
        <f>IFERROR(IF(FIND(CY$1,$W153)&gt;0,IF(INDEX([1]!Product_Pricing_Table[#Data],MATCH(CY$1,Products,0),2)="Cores",IF(HostBuild[Use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3" s="59">
        <f>IFERROR(IF(FIND(CZ$1,$W153)&gt;0,IF(INDEX([1]!Product_Pricing_Table[#Data],MATCH(CZ$1,Products,0),2)="Cores",IF(HostBuild[Use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3" s="59">
        <f>IFERROR(IF(FIND(DA$1,$W153)&gt;0,IF(INDEX([1]!Product_Pricing_Table[#Data],MATCH(DA$1,Products,0),2)="Cores",IF(HostBuild[Use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3" s="59">
        <f>IFERROR(IF(FIND(DB$1,$W153)&gt;0,IF(INDEX([1]!Product_Pricing_Table[#Data],MATCH(DB$1,Products,0),2)="Cores",IF(HostBuild[Use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3" s="59">
        <f>IFERROR(IF(FIND(DC$1,$W153)&gt;0,IF(INDEX([1]!Product_Pricing_Table[#Data],MATCH(DC$1,Products,0),2)="Cores",IF(HostBuild[Use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3" s="59">
        <f>IFERROR(IF(FIND(DD$1,$W153)&gt;0,IF(INDEX([1]!Product_Pricing_Table[#Data],MATCH(DD$1,Products,0),2)="Cores",IF(HostBuild[Use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3" s="59">
        <f>IFERROR(IF(FIND(DE$1,$W153)&gt;0,IF(INDEX([1]!Product_Pricing_Table[#Data],MATCH(DE$1,Products,0),2)="Cores",IF(HostBuild[Use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3" s="60">
        <f>IFERROR(IF(FIND(DF$1,$W153)&gt;0,IF(INDEX([1]!Product_Pricing_Table[#Data],MATCH(DF$1,Products,0),2)="Cores",IF(HostBuild[Use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3" s="60">
        <f>IFERROR(IF(FIND(DG$1,$W153)&gt;0,IF(INDEX([1]!Product_Pricing_Table[#Data],MATCH(DG$1,Products,0),2)="Cores",IF(HostBuild[Use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3" s="59">
        <f>IFERROR(IF(FIND(DH$1,$W153)&gt;0,IF(INDEX([1]!Product_Pricing_Table[#Data],MATCH(DH$1,Products,0),2)="Cores",IF(HostBuild[Use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3" s="60">
        <f>IFERROR(IF(FIND(DI$1,$W153)&gt;0,IF(INDEX([1]!Product_Pricing_Table[#Data],MATCH(DI$1,Products,0),2)="Cores",IF(HostBuild[Use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3" s="59">
        <f>IFERROR(IF(FIND(DJ$1,$W153)&gt;0,IF(INDEX([1]!Product_Pricing_Table[#Data],MATCH(DJ$1,Products,0),2)="Cores",IF(HostBuild[Use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3" s="59">
        <f>IFERROR(IF(FIND(DK$1,$W153)&gt;0,IF(INDEX([1]!Product_Pricing_Table[#Data],MATCH(DK$1,Products,0),2)="Cores",IF(HostBuild[Use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3" s="59">
        <f>IFERROR(IF(FIND(DL$1,$W153)&gt;0,IF(INDEX([1]!Product_Pricing_Table[#Data],MATCH(DL$1,Products,0),2)="Cores",IF(HostBuild[Use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3" s="59">
        <f>IFERROR(IF(FIND(DM$1,$W153)&gt;0,IF(INDEX([1]!Product_Pricing_Table[#Data],MATCH(DM$1,Products,0),2)="Cores",IF(HostBuild[Use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3" s="59">
        <f>IFERROR(IF(FIND(DN$1,$W153)&gt;0,IF(INDEX([1]!Product_Pricing_Table[#Data],MATCH(DN$1,Products,0),2)="Cores",IF(HostBuild[Use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3" s="59">
        <f>IFERROR(IF(FIND(DO$1,$W153)&gt;0,IF(INDEX([1]!Product_Pricing_Table[#Data],MATCH(DO$1,Products,0),2)="Cores",IF(HostBuild[Use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3" s="59">
        <f>IFERROR(IF(FIND(DP$1,$W153)&gt;0,IF(INDEX([1]!Product_Pricing_Table[#Data],MATCH(DP$1,Products,0),2)="Cores",IF(HostBuild[Use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3" s="59">
        <f>IFERROR(IF(FIND(DQ$1,$W153)&gt;0,IF(INDEX([1]!Product_Pricing_Table[#Data],MATCH(DQ$1,Products,0),2)="Cores",IF(HostBuild[Use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3" s="59">
        <f>IFERROR(IF(FIND(DR$1,$W153)&gt;0,IF(INDEX([1]!Product_Pricing_Table[#Data],MATCH(DR$1,Products,0),2)="Cores",IF(HostBuild[Use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3" s="59">
        <f>IFERROR(IF(FIND(DS$1,$W153)&gt;0,IF(INDEX([1]!Product_Pricing_Table[#Data],MATCH(DS$1,Products,0),2)="Cores",IF(HostBuild[Use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3" s="59">
        <f>IFERROR(IF(FIND(DT$1,$W153)&gt;0,IF(INDEX([1]!Product_Pricing_Table[#Data],MATCH(DT$1,Products,0),2)="Cores",IF(HostBuild[Use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3" s="59">
        <f>IFERROR(IF(FIND(DU$1,$W153)&gt;0,IF(INDEX([1]!Product_Pricing_Table[#Data],MATCH(DU$1,Products,0),2)="Cores",IF(HostBuild[Use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3" s="59">
        <f>IFERROR(IF(FIND(DV$1,$W153)&gt;0,IF(INDEX([1]!Product_Pricing_Table[#Data],MATCH(DV$1,Products,0),2)="Cores",IF(HostBuild[Use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3" s="59">
        <f>IFERROR(IF(FIND(DW$1,$W153)&gt;0,IF(INDEX([1]!Product_Pricing_Table[#Data],MATCH(DW$1,Products,0),2)="Cores",IF(HostBuild[Use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3" s="59">
        <f>IFERROR(IF(FIND(DX$1,$W153)&gt;0,IF(INDEX([1]!Product_Pricing_Table[#Data],MATCH(DX$1,Products,0),2)="Cores",IF(HostBuild[Use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3" s="59">
        <f>IFERROR(IF(FIND(DY$1,$W153)&gt;0,IF(INDEX([1]!Product_Pricing_Table[#Data],MATCH(DY$1,Products,0),2)="Cores",IF(HostBuild[Use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3" s="59">
        <f>IFERROR(IF(FIND(DZ$1,$W153)&gt;0,IF(INDEX([1]!Product_Pricing_Table[#Data],MATCH(DZ$1,Products,0),2)="Cores",IF(HostBuild[Use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3" s="59">
        <f>IFERROR(IF(FIND(EA$1,$W153)&gt;0,IF(INDEX([1]!Product_Pricing_Table[#Data],MATCH(EA$1,Products,0),2)="Cores",IF(HostBuild[Use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3" s="59">
        <f>IFERROR(IF(FIND(EB$1,$W153)&gt;0,IF(INDEX([1]!Product_Pricing_Table[#Data],MATCH(EB$1,Products,0),2)="Cores",IF(HostBuild[Use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3" s="60">
        <f>IFERROR(IF(FIND(EC$1,$W153)&gt;0,IF(INDEX([1]!Product_Pricing_Table[#Data],MATCH(EC$1,Products,0),2)="Cores",IF(HostBuild[Use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3" s="59">
        <f>IFERROR(IF(FIND(ED$1,$W153)&gt;0,IF(INDEX([1]!Product_Pricing_Table[#Data],MATCH(ED$1,Products,0),2)="Cores",IF(HostBuild[Use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3" s="59">
        <f>IFERROR(IF(FIND(EE$1,$W153)&gt;0,IF(INDEX([1]!Product_Pricing_Table[#Data],MATCH(EE$1,Products,0),2)="Cores",IF(HostBuild[Use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3" s="59">
        <f>IFERROR(IF(FIND(EF$1,$W153)&gt;0,IF(INDEX([1]!Product_Pricing_Table[#Data],MATCH(EF$1,Products,0),2)="Cores",IF(HostBuild[Use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3" s="59">
        <f>IFERROR(IF(FIND(EG$1,$W153)&gt;0,IF(INDEX([1]!Product_Pricing_Table[#Data],MATCH(EG$1,Products,0),2)="Cores",IF(HostBuild[Use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3" s="59">
        <f>IFERROR(IF(FIND(EH$1,$W153)&gt;0,IF(INDEX([1]!Product_Pricing_Table[#Data],MATCH(EH$1,Products,0),2)="Cores",IF(HostBuild[Use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3" s="59">
        <f>IFERROR(IF(FIND(EI$1,$W153)&gt;0,IF(INDEX([1]!Product_Pricing_Table[#Data],MATCH(EI$1,Products,0),2)="Cores",IF(HostBuild[Use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3" s="59">
        <f>IFERROR(IF(FIND(EJ$1,$W153)&gt;0,IF(INDEX([1]!Product_Pricing_Table[#Data],MATCH(EJ$1,Products,0),2)="Cores",IF(HostBuild[Use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3" s="60">
        <f>IFERROR(IF(FIND(EK$1,$W153)&gt;0,IF(INDEX([1]!Product_Pricing_Table[#Data],MATCH(EK$1,Products,0),2)="Cores",IF(HostBuild[Use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3" s="61"/>
      <c r="EM153" s="62"/>
      <c r="EN153" s="63"/>
      <c r="EO153"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3" s="132">
        <f>(HostBuild[Archive
Full (GB)]+HostBuild[Archive
Incr (GB)])*Storage_DC_Dist_Tape_2014</f>
        <v>0</v>
      </c>
      <c r="ER153" s="132">
        <f>IF(ISNUMBER(HostBuild[Server HW Costs
(Monthly)]),SUM(HostBuild[[#This Row],[Server HW Costs
(Monthly)]:[Tape Costs
(Monthly)]]),0)</f>
        <v>0</v>
      </c>
      <c r="ES153" s="65">
        <f>HostBuild[Software Costs
'[Year 1']
(Monthly)]+HostBuild[Total Hardware Costs
(Monthly)]</f>
        <v>0</v>
      </c>
      <c r="ET153" s="65">
        <f>IFERROR(IF(FIND("Safenet",HostBuild[Server Model]),Safenet_PSE_PL600_Maint,0),0)+IFERROR(IF(FIND("XI52",HostBuild[Server Model]),IBM_DIA_XI52_Maint,0),0)+HostBuild[Software Costs
'[After Year 1']
(Monthly)]+HostBuild[Total Hardware Costs
(Monthly)]</f>
        <v>0</v>
      </c>
      <c r="EU153" s="66">
        <f>SUM(HostBuild[[#This Row],[Server Cost Breakdown]:[Network Cost]])</f>
        <v>0</v>
      </c>
      <c r="EV153" s="67">
        <f>IF(HostBuild[Existing Server?]="Yes - Inside this BoM",0,SUMIF(HostBuild[Alias],HostBuild[Alias],HostBuild[CPU])+SUMIF(HostBuild[Alias],HostBuild[Alias],HostBuild[Existing CPUs]))</f>
        <v>0</v>
      </c>
      <c r="EW153" s="67">
        <f>IF(HostBuild[Existing Server?]="Yes - Inside this BoM",0,SUMIF(HostBuild[Alias],HostBuild[Alias],HostBuild[Cores 
(Licensed Units)])+SUMIF(HostBuild[Alias],HostBuild[Alias],HostBuild[Existing Cores]))</f>
        <v>0</v>
      </c>
      <c r="EX153" s="67">
        <f>IF(HostBuild[Existing Server?]="Yes - Inside this BoM",0,SUMIF(HostBuild[Alias],HostBuild[Alias],HostBuild[RAM 
(GB)])+SUMIF(HostBuild[Alias],HostBuild[Alias],HostBuild[Existing RAM (GB)]))</f>
        <v>0</v>
      </c>
      <c r="EY15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3" s="66">
        <f>IF(ISBLANK(HostBuild[Server Model]),0,IF(HostBuild[Server Tier]="VMware",0,VLOOKUP(HostBuild[Server Tier],[1]!ServerTierRates[#Data],2,0))*HostBuild[CPU]*IF(AND(HostBuild[Server Type]="pSeries",HostBuild[Virtual Platform Storage Type]="Cloud-SAN"),0.25,1))</f>
        <v>0</v>
      </c>
      <c r="FD153" s="66">
        <f>0</f>
        <v>0</v>
      </c>
      <c r="FE153" s="66">
        <f>IF(HostBuild[Server Type]="VMware",HostBuild[RAM 
(GB)]*IF(ISERROR(FIND("DevCloud", HostBuild[Server Model])&gt;0),vRAM_per_vCPU_2014_Monthly,vRAM_per_vCPU_2014_Daily*30),0)</f>
        <v>0</v>
      </c>
      <c r="FF15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3" s="69">
        <f>IF(HostBuild[Server Tier]="VMware",0,IF(LEFT(HostBuild[Existing Server?],3)="Yes",0,IF(OR(HostBuild[Server Type]="Sun",HostBuild[Server Type]="pSeries"),Support_Direct_Server_Sun_per_OS_2014,IF(HostBuild[Server Type]="x86",Support_Direct_Server_x86_Wintel_per_OS_2014,0))))</f>
        <v>0</v>
      </c>
      <c r="FI15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4" spans="1:165" hidden="1">
      <c r="A154" s="122" t="s">
        <v>53</v>
      </c>
      <c r="B154" s="36"/>
      <c r="C154" s="36"/>
      <c r="D154" s="36"/>
      <c r="E154" s="137"/>
      <c r="F154" s="137"/>
      <c r="G154" s="103"/>
      <c r="H154" s="103"/>
      <c r="I154" s="138"/>
      <c r="J154" s="137"/>
      <c r="K154" s="137"/>
      <c r="L154" s="137"/>
      <c r="M154" s="103" t="e">
        <f ca="1">IF(rngIsDate(HostBuild[CTO Acceptance]),"Y","N")</f>
        <v>#NAME?</v>
      </c>
      <c r="N154" s="123" t="s">
        <v>3</v>
      </c>
      <c r="O154" s="39"/>
      <c r="P154" s="39"/>
      <c r="Q154" s="123" t="s">
        <v>189</v>
      </c>
      <c r="R154" s="126" t="str">
        <f>IF(NOT(ISBLANK(HostBuild[Env Label])),IFERROR(VLOOKUP(HostBuild[Env Label],[1]!tEnv[#Data],3,FALSE),""),"")</f>
        <v/>
      </c>
      <c r="S154" s="104"/>
      <c r="T154" s="40"/>
      <c r="U154" s="105"/>
      <c r="V154" s="123" t="s">
        <v>386</v>
      </c>
      <c r="W154" s="123"/>
      <c r="X154" s="123"/>
      <c r="Y154" s="123" t="s">
        <v>188</v>
      </c>
      <c r="Z154" s="126" t="str">
        <f>IF(NOT(ISBLANK(HostBuild[[#This Row],[Product 
(Acronym)]])),CONCATENATE(HostBuild[[#This Row],[Type]],"-",HostBuild[[#This Row],[Product 
(Acronym)]]),"")</f>
        <v>-CBOL</v>
      </c>
      <c r="AA154" s="106"/>
      <c r="AB154" s="106" t="s">
        <v>76</v>
      </c>
      <c r="AC154" s="139"/>
      <c r="AD154" s="140"/>
      <c r="AE154" s="140"/>
      <c r="AF154" s="141"/>
      <c r="AG154" s="124"/>
      <c r="AH154" s="107"/>
      <c r="AI154" s="124"/>
      <c r="AJ154" s="123">
        <f>IF(COUNTIF(HostBuild[Alias],HostBuild[Alias]),1/COUNTIF(HostBuild[Alias],HostBuild[Alias]),0)</f>
        <v>0</v>
      </c>
      <c r="AK154" s="124"/>
      <c r="AL154" s="124"/>
      <c r="AM154" s="44"/>
      <c r="AN154" s="45" t="str">
        <f>IF(NOT(ISBLANK(HostBuild[Server Model])),VLOOKUP(HostBuild[Server Model],[1]!ServerModelsTier[#Data],2,FALSE),"")</f>
        <v/>
      </c>
      <c r="AO154" s="45" t="str">
        <f>IF(NOT(ISBLANK(HostBuild[Server Model])),VLOOKUP(HostBuild[Server Model],[1]!ServerModelsTier[#Data],5,FALSE),"")</f>
        <v/>
      </c>
      <c r="AP154" s="44"/>
      <c r="AQ154" s="44"/>
      <c r="AR154" s="46"/>
      <c r="AS154" s="108"/>
      <c r="AT154" s="142"/>
      <c r="AU154" s="109" t="str">
        <f>IF(IFERROR(FIND("P-Series",HostBuild[Server Tier]),0),CEILING((HostBuild[Existing CPUs]+HostBuild[CPU])*16,8),"")</f>
        <v/>
      </c>
      <c r="AV154" s="48"/>
      <c r="AW154" s="124"/>
      <c r="AX154" s="124"/>
      <c r="AY154" s="124"/>
      <c r="AZ154" s="49"/>
      <c r="BA154" s="124"/>
      <c r="BB154" s="124"/>
      <c r="BC154" s="140"/>
      <c r="BD154" s="124"/>
      <c r="BE154" s="124"/>
      <c r="BF154" s="124"/>
      <c r="BG154" s="124"/>
      <c r="BH154" s="124"/>
      <c r="BI154" s="124"/>
      <c r="BJ154" s="124"/>
      <c r="BK154"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54" s="143"/>
      <c r="BM154" s="129">
        <f>IF(ISNUMBER(HostBuild[Recommended SAN (GB)]),HostBuild[Recommended SAN (GB)])+IF(HostBuild[Additional SAN (GB)]&gt;0,CEILING(HostBuild[Additional SAN (GB)],LUN),-(CEILING(-HostBuild[Additional SAN (GB)],LUN)))</f>
        <v>0</v>
      </c>
      <c r="BN154" s="128"/>
      <c r="BO154" s="129">
        <f>HostBuild[SAN (GB)
NEEDED TODAY]+CEILING(HostBuild[SAN (GB)
RESERVED
DO NOT USE TO BUILD], LUN)</f>
        <v>0</v>
      </c>
      <c r="BP154" s="130"/>
      <c r="BQ154" s="131"/>
      <c r="BR154" s="125" t="s">
        <v>76</v>
      </c>
      <c r="BS154" s="110">
        <f>IF(HostBuild[Existing Server?]&lt;&gt;"Yes - Inside this BoM",IF(ISNUMBER(HostBuild[RAM 
(GB)]),IF(HostBuild[Existing RAM (GB)]+HostBuild[RAM 
(GB)]&gt;0,IF(HostBuild[Virtual Platform Storage Type]="NAS",110+HostBuild[Existing RAM (GB)]+HostBuild[RAM 
(GB)]*1.75,0),0),0),0)</f>
        <v>0</v>
      </c>
      <c r="BT154" s="111"/>
      <c r="BU154" s="112">
        <f>IF(ISNUMBER(HostBuild[Recommended NAS (GB)]),HostBuild[Recommended NAS (GB)])+HostBuild[Additional NAS (GB)]</f>
        <v>0</v>
      </c>
      <c r="BV154" s="144"/>
      <c r="BW154" s="144"/>
      <c r="BX154" s="133">
        <f>IFERROR((HostBuild[SAN (GB)
End-State
DO NOT USE TO BUILD]+HostBuild[SAN (GB) Shared])*25%,"")</f>
        <v>0</v>
      </c>
      <c r="BY154" s="113">
        <f>IFERROR(HostBuild[Archive
Full (GB)]*15%,"")</f>
        <v>0</v>
      </c>
      <c r="BZ154" s="51"/>
      <c r="CA154" s="51"/>
      <c r="CB154" s="52"/>
      <c r="CC154" s="53"/>
      <c r="CD154" s="52"/>
      <c r="CE154" s="145"/>
      <c r="CF154" s="128"/>
      <c r="CG154" s="146"/>
      <c r="CH154" s="147"/>
      <c r="CI154" s="148"/>
      <c r="CJ154" s="57"/>
      <c r="CK154" s="149"/>
      <c r="CL154" s="59">
        <f>IFERROR(IF(FIND(CL$1,$W154)&gt;0,IF(INDEX([1]!Product_Pricing_Table[#Data],MATCH(CL$1,Products,0),2)="Cores",IF(HostBuild[Use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4" s="59">
        <f>IFERROR(IF(FIND(CM$1,$W154)&gt;0,IF(INDEX([1]!Product_Pricing_Table[#Data],MATCH(CM$1,Products,0),2)="Cores",IF(HostBuild[Use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4" s="59">
        <f>IFERROR(IF(FIND(CN$1,$W154)&gt;0,IF(INDEX([1]!Product_Pricing_Table[#Data],MATCH(CN$1,Products,0),2)="Cores",IF(HostBuild[Use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4" s="59">
        <f>IFERROR(IF(FIND(CO$1,$W154)&gt;0,IF(INDEX([1]!Product_Pricing_Table[#Data],MATCH(CO$1,Products,0),2)="Cores",IF(HostBuild[Use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4" s="59">
        <f>IFERROR(IF(FIND(CP$1,$W154)&gt;0,IF(INDEX([1]!Product_Pricing_Table[#Data],MATCH(CP$1,Products,0),2)="Cores",IF(HostBuild[Use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4" s="59">
        <f>IFERROR(IF(FIND(CQ$1,$W154)&gt;0,IF(INDEX([1]!Product_Pricing_Table[#Data],MATCH(CQ$1,Products,0),2)="Cores",IF(HostBuild[Use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4" s="59">
        <f>IFERROR(IF(FIND(CR$1,$W154)&gt;0,IF(INDEX([1]!Product_Pricing_Table[#Data],MATCH(CR$1,Products,0),2)="Cores",IF(HostBuild[Use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4" s="59">
        <f>IFERROR(IF(FIND(CS$1,$W154)&gt;0,IF(INDEX([1]!Product_Pricing_Table[#Data],MATCH(CS$1,Products,0),2)="Cores",IF(HostBuild[Use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4" s="59">
        <f>IFERROR(IF(FIND(CT$1,$W154)&gt;0,IF(INDEX([1]!Product_Pricing_Table[#Data],MATCH(CT$1,Products,0),2)="Cores",IF(HostBuild[Use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4" s="59">
        <f>IFERROR(IF(FIND(CU$1,$W154)&gt;0,IF(INDEX([1]!Product_Pricing_Table[#Data],MATCH(CU$1,Products,0),2)="Cores",IF(HostBuild[Use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4" s="59">
        <f>IFERROR(IF(FIND(CV$1,$W154)&gt;0,IF(INDEX([1]!Product_Pricing_Table[#Data],MATCH(CV$1,Products,0),2)="Cores",IF(HostBuild[Use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4" s="59">
        <f>IFERROR(IF(FIND(CW$1,$W154)&gt;0,IF(INDEX([1]!Product_Pricing_Table[#Data],MATCH(CW$1,Products,0),2)="Cores",IF(HostBuild[Use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4" s="59">
        <f>IFERROR(IF(FIND(CX$1,$W154)&gt;0,IF(INDEX([1]!Product_Pricing_Table[#Data],MATCH(CX$1,Products,0),2)="Cores",IF(HostBuild[Use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4" s="59">
        <f>IFERROR(IF(FIND(CY$1,$W154)&gt;0,IF(INDEX([1]!Product_Pricing_Table[#Data],MATCH(CY$1,Products,0),2)="Cores",IF(HostBuild[Use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4" s="59">
        <f>IFERROR(IF(FIND(CZ$1,$W154)&gt;0,IF(INDEX([1]!Product_Pricing_Table[#Data],MATCH(CZ$1,Products,0),2)="Cores",IF(HostBuild[Use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4" s="59">
        <f>IFERROR(IF(FIND(DA$1,$W154)&gt;0,IF(INDEX([1]!Product_Pricing_Table[#Data],MATCH(DA$1,Products,0),2)="Cores",IF(HostBuild[Use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4" s="59">
        <f>IFERROR(IF(FIND(DB$1,$W154)&gt;0,IF(INDEX([1]!Product_Pricing_Table[#Data],MATCH(DB$1,Products,0),2)="Cores",IF(HostBuild[Use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4" s="59">
        <f>IFERROR(IF(FIND(DC$1,$W154)&gt;0,IF(INDEX([1]!Product_Pricing_Table[#Data],MATCH(DC$1,Products,0),2)="Cores",IF(HostBuild[Use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4" s="59">
        <f>IFERROR(IF(FIND(DD$1,$W154)&gt;0,IF(INDEX([1]!Product_Pricing_Table[#Data],MATCH(DD$1,Products,0),2)="Cores",IF(HostBuild[Use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4" s="59">
        <f>IFERROR(IF(FIND(DE$1,$W154)&gt;0,IF(INDEX([1]!Product_Pricing_Table[#Data],MATCH(DE$1,Products,0),2)="Cores",IF(HostBuild[Use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4" s="60">
        <f>IFERROR(IF(FIND(DF$1,$W154)&gt;0,IF(INDEX([1]!Product_Pricing_Table[#Data],MATCH(DF$1,Products,0),2)="Cores",IF(HostBuild[Use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4" s="60">
        <f>IFERROR(IF(FIND(DG$1,$W154)&gt;0,IF(INDEX([1]!Product_Pricing_Table[#Data],MATCH(DG$1,Products,0),2)="Cores",IF(HostBuild[Use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4" s="59">
        <f>IFERROR(IF(FIND(DH$1,$W154)&gt;0,IF(INDEX([1]!Product_Pricing_Table[#Data],MATCH(DH$1,Products,0),2)="Cores",IF(HostBuild[Use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4" s="60">
        <f>IFERROR(IF(FIND(DI$1,$W154)&gt;0,IF(INDEX([1]!Product_Pricing_Table[#Data],MATCH(DI$1,Products,0),2)="Cores",IF(HostBuild[Use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4" s="59">
        <f>IFERROR(IF(FIND(DJ$1,$W154)&gt;0,IF(INDEX([1]!Product_Pricing_Table[#Data],MATCH(DJ$1,Products,0),2)="Cores",IF(HostBuild[Use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4" s="59">
        <f>IFERROR(IF(FIND(DK$1,$W154)&gt;0,IF(INDEX([1]!Product_Pricing_Table[#Data],MATCH(DK$1,Products,0),2)="Cores",IF(HostBuild[Use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4" s="59">
        <f>IFERROR(IF(FIND(DL$1,$W154)&gt;0,IF(INDEX([1]!Product_Pricing_Table[#Data],MATCH(DL$1,Products,0),2)="Cores",IF(HostBuild[Use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4" s="59">
        <f>IFERROR(IF(FIND(DM$1,$W154)&gt;0,IF(INDEX([1]!Product_Pricing_Table[#Data],MATCH(DM$1,Products,0),2)="Cores",IF(HostBuild[Use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4" s="59">
        <f>IFERROR(IF(FIND(DN$1,$W154)&gt;0,IF(INDEX([1]!Product_Pricing_Table[#Data],MATCH(DN$1,Products,0),2)="Cores",IF(HostBuild[Use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4" s="59">
        <f>IFERROR(IF(FIND(DO$1,$W154)&gt;0,IF(INDEX([1]!Product_Pricing_Table[#Data],MATCH(DO$1,Products,0),2)="Cores",IF(HostBuild[Use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4" s="59">
        <f>IFERROR(IF(FIND(DP$1,$W154)&gt;0,IF(INDEX([1]!Product_Pricing_Table[#Data],MATCH(DP$1,Products,0),2)="Cores",IF(HostBuild[Use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4" s="59">
        <f>IFERROR(IF(FIND(DQ$1,$W154)&gt;0,IF(INDEX([1]!Product_Pricing_Table[#Data],MATCH(DQ$1,Products,0),2)="Cores",IF(HostBuild[Use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4" s="59">
        <f>IFERROR(IF(FIND(DR$1,$W154)&gt;0,IF(INDEX([1]!Product_Pricing_Table[#Data],MATCH(DR$1,Products,0),2)="Cores",IF(HostBuild[Use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4" s="59">
        <f>IFERROR(IF(FIND(DS$1,$W154)&gt;0,IF(INDEX([1]!Product_Pricing_Table[#Data],MATCH(DS$1,Products,0),2)="Cores",IF(HostBuild[Use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4" s="59">
        <f>IFERROR(IF(FIND(DT$1,$W154)&gt;0,IF(INDEX([1]!Product_Pricing_Table[#Data],MATCH(DT$1,Products,0),2)="Cores",IF(HostBuild[Use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4" s="59">
        <f>IFERROR(IF(FIND(DU$1,$W154)&gt;0,IF(INDEX([1]!Product_Pricing_Table[#Data],MATCH(DU$1,Products,0),2)="Cores",IF(HostBuild[Use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4" s="59">
        <f>IFERROR(IF(FIND(DV$1,$W154)&gt;0,IF(INDEX([1]!Product_Pricing_Table[#Data],MATCH(DV$1,Products,0),2)="Cores",IF(HostBuild[Use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4" s="59">
        <f>IFERROR(IF(FIND(DW$1,$W154)&gt;0,IF(INDEX([1]!Product_Pricing_Table[#Data],MATCH(DW$1,Products,0),2)="Cores",IF(HostBuild[Use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4" s="59">
        <f>IFERROR(IF(FIND(DX$1,$W154)&gt;0,IF(INDEX([1]!Product_Pricing_Table[#Data],MATCH(DX$1,Products,0),2)="Cores",IF(HostBuild[Use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4" s="59">
        <f>IFERROR(IF(FIND(DY$1,$W154)&gt;0,IF(INDEX([1]!Product_Pricing_Table[#Data],MATCH(DY$1,Products,0),2)="Cores",IF(HostBuild[Use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4" s="59">
        <f>IFERROR(IF(FIND(DZ$1,$W154)&gt;0,IF(INDEX([1]!Product_Pricing_Table[#Data],MATCH(DZ$1,Products,0),2)="Cores",IF(HostBuild[Use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4" s="59">
        <f>IFERROR(IF(FIND(EA$1,$W154)&gt;0,IF(INDEX([1]!Product_Pricing_Table[#Data],MATCH(EA$1,Products,0),2)="Cores",IF(HostBuild[Use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4" s="59">
        <f>IFERROR(IF(FIND(EB$1,$W154)&gt;0,IF(INDEX([1]!Product_Pricing_Table[#Data],MATCH(EB$1,Products,0),2)="Cores",IF(HostBuild[Use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4" s="60">
        <f>IFERROR(IF(FIND(EC$1,$W154)&gt;0,IF(INDEX([1]!Product_Pricing_Table[#Data],MATCH(EC$1,Products,0),2)="Cores",IF(HostBuild[Use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4" s="59">
        <f>IFERROR(IF(FIND(ED$1,$W154)&gt;0,IF(INDEX([1]!Product_Pricing_Table[#Data],MATCH(ED$1,Products,0),2)="Cores",IF(HostBuild[Use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4" s="59">
        <f>IFERROR(IF(FIND(EE$1,$W154)&gt;0,IF(INDEX([1]!Product_Pricing_Table[#Data],MATCH(EE$1,Products,0),2)="Cores",IF(HostBuild[Use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4" s="59">
        <f>IFERROR(IF(FIND(EF$1,$W154)&gt;0,IF(INDEX([1]!Product_Pricing_Table[#Data],MATCH(EF$1,Products,0),2)="Cores",IF(HostBuild[Use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4" s="59">
        <f>IFERROR(IF(FIND(EG$1,$W154)&gt;0,IF(INDEX([1]!Product_Pricing_Table[#Data],MATCH(EG$1,Products,0),2)="Cores",IF(HostBuild[Use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4" s="59">
        <f>IFERROR(IF(FIND(EH$1,$W154)&gt;0,IF(INDEX([1]!Product_Pricing_Table[#Data],MATCH(EH$1,Products,0),2)="Cores",IF(HostBuild[Use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4" s="59">
        <f>IFERROR(IF(FIND(EI$1,$W154)&gt;0,IF(INDEX([1]!Product_Pricing_Table[#Data],MATCH(EI$1,Products,0),2)="Cores",IF(HostBuild[Use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4" s="59">
        <f>IFERROR(IF(FIND(EJ$1,$W154)&gt;0,IF(INDEX([1]!Product_Pricing_Table[#Data],MATCH(EJ$1,Products,0),2)="Cores",IF(HostBuild[Use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4" s="60">
        <f>IFERROR(IF(FIND(EK$1,$W154)&gt;0,IF(INDEX([1]!Product_Pricing_Table[#Data],MATCH(EK$1,Products,0),2)="Cores",IF(HostBuild[Use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4" s="61"/>
      <c r="EM154" s="62"/>
      <c r="EN154" s="150"/>
      <c r="EO154"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4" s="151">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4" s="151">
        <f>(HostBuild[Archive
Full (GB)]+HostBuild[Archive
Incr (GB)])*Storage_DC_Dist_Tape_2014</f>
        <v>0</v>
      </c>
      <c r="ER154" s="151">
        <f>IF(ISNUMBER(HostBuild[Server HW Costs
(Monthly)]),SUM(HostBuild[[#This Row],[Server HW Costs
(Monthly)]:[Tape Costs
(Monthly)]]),0)</f>
        <v>0</v>
      </c>
      <c r="ES154" s="152">
        <f>HostBuild[Software Costs
'[Year 1']
(Monthly)]+HostBuild[Total Hardware Costs
(Monthly)]</f>
        <v>0</v>
      </c>
      <c r="ET154" s="152">
        <f>IFERROR(IF(FIND("Safenet",HostBuild[Server Model]),Safenet_PSE_PL600_Maint,0),0)+IFERROR(IF(FIND("XI52",HostBuild[Server Model]),IBM_DIA_XI52_Maint,0),0)+HostBuild[Software Costs
'[After Year 1']
(Monthly)]+HostBuild[Total Hardware Costs
(Monthly)]</f>
        <v>0</v>
      </c>
      <c r="EU154" s="153">
        <f>SUM(HostBuild[[#This Row],[Server Cost Breakdown]:[Network Cost]])</f>
        <v>0</v>
      </c>
      <c r="EV154" s="154">
        <f>IF(HostBuild[Existing Server?]="Yes - Inside this BoM",0,SUMIF(HostBuild[Alias],HostBuild[Alias],HostBuild[CPU])+SUMIF(HostBuild[Alias],HostBuild[Alias],HostBuild[Existing CPUs]))</f>
        <v>0</v>
      </c>
      <c r="EW154" s="154">
        <f>IF(HostBuild[Existing Server?]="Yes - Inside this BoM",0,SUMIF(HostBuild[Alias],HostBuild[Alias],HostBuild[Cores 
(Licensed Units)])+SUMIF(HostBuild[Alias],HostBuild[Alias],HostBuild[Existing Cores]))</f>
        <v>0</v>
      </c>
      <c r="EX154" s="154">
        <f>IF(HostBuild[Existing Server?]="Yes - Inside this BoM",0,SUMIF(HostBuild[Alias],HostBuild[Alias],HostBuild[RAM 
(GB)])+SUMIF(HostBuild[Alias],HostBuild[Alias],HostBuild[Existing RAM (GB)]))</f>
        <v>0</v>
      </c>
      <c r="EY154" s="153">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4" s="155">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4" s="153">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4" s="153">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4" s="153">
        <f>IF(ISBLANK(HostBuild[Server Model]),0,IF(HostBuild[Server Tier]="VMware",0,VLOOKUP(HostBuild[Server Tier],[1]!ServerTierRates[#Data],2,0))*HostBuild[CPU]*IF(AND(HostBuild[Server Type]="pSeries",HostBuild[Virtual Platform Storage Type]="Cloud-SAN"),0.25,1))</f>
        <v>0</v>
      </c>
      <c r="FD154" s="153">
        <f>0</f>
        <v>0</v>
      </c>
      <c r="FE154" s="153">
        <f>IF(HostBuild[Server Type]="VMware",HostBuild[RAM 
(GB)]*IF(ISERROR(FIND("DevCloud", HostBuild[Server Model])&gt;0),vRAM_per_vCPU_2014_Monthly,vRAM_per_vCPU_2014_Daily*30),0)</f>
        <v>0</v>
      </c>
      <c r="FF154" s="153">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4" s="153">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4" s="156">
        <f>IF(HostBuild[Server Tier]="VMware",0,IF(LEFT(HostBuild[Existing Server?],3)="Yes",0,IF(OR(HostBuild[Server Type]="Sun",HostBuild[Server Type]="pSeries"),Support_Direct_Server_Sun_per_OS_2014,IF(HostBuild[Server Type]="x86",Support_Direct_Server_x86_Wintel_per_OS_2014,0))))</f>
        <v>0</v>
      </c>
      <c r="FI154" s="155">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5" spans="1:165" hidden="1">
      <c r="A155" s="122" t="s">
        <v>53</v>
      </c>
      <c r="B155" s="36"/>
      <c r="C155" s="36"/>
      <c r="D155" s="36"/>
      <c r="E155" s="37"/>
      <c r="F155" s="37"/>
      <c r="G155" s="103"/>
      <c r="H155" s="103"/>
      <c r="I155" s="38"/>
      <c r="J155" s="37"/>
      <c r="K155" s="37"/>
      <c r="L155" s="37"/>
      <c r="M155" s="103" t="e">
        <f ca="1">IF(rngIsDate(HostBuild[CTO Acceptance]),"Y","N")</f>
        <v>#NAME?</v>
      </c>
      <c r="N155" s="123" t="s">
        <v>3</v>
      </c>
      <c r="O155" s="39"/>
      <c r="P155" s="39"/>
      <c r="Q155" s="123" t="s">
        <v>1</v>
      </c>
      <c r="R155" s="126" t="str">
        <f>IF(NOT(ISBLANK(HostBuild[Env Label])),IFERROR(VLOOKUP(HostBuild[Env Label],[1]!tEnv[#Data],3,FALSE),""),"")</f>
        <v/>
      </c>
      <c r="S155" s="104"/>
      <c r="T155" s="40"/>
      <c r="U155" s="105"/>
      <c r="V155" s="123" t="s">
        <v>386</v>
      </c>
      <c r="W155" s="123"/>
      <c r="X155" s="123"/>
      <c r="Y155" s="123" t="s">
        <v>188</v>
      </c>
      <c r="Z155" s="126" t="str">
        <f>IF(NOT(ISBLANK(HostBuild[[#This Row],[Product 
(Acronym)]])),CONCATENATE(HostBuild[[#This Row],[Type]],"-",HostBuild[[#This Row],[Product 
(Acronym)]]),"")</f>
        <v>-CBOL</v>
      </c>
      <c r="AA155" s="106"/>
      <c r="AB155" s="106" t="s">
        <v>76</v>
      </c>
      <c r="AC155" s="41"/>
      <c r="AD155" s="42"/>
      <c r="AE155" s="42"/>
      <c r="AF155" s="43"/>
      <c r="AG155" s="124"/>
      <c r="AH155" s="107"/>
      <c r="AI155" s="124"/>
      <c r="AJ155" s="123">
        <f>IF(COUNTIF(HostBuild[Alias],HostBuild[Alias]),1/COUNTIF(HostBuild[Alias],HostBuild[Alias]),0)</f>
        <v>0</v>
      </c>
      <c r="AK155" s="124"/>
      <c r="AL155" s="124"/>
      <c r="AM155" s="44"/>
      <c r="AN155" s="45" t="str">
        <f>IF(NOT(ISBLANK(HostBuild[Server Model])),VLOOKUP(HostBuild[Server Model],[1]!ServerModelsTier[#Data],2,FALSE),"")</f>
        <v/>
      </c>
      <c r="AO155" s="45" t="str">
        <f>IF(NOT(ISBLANK(HostBuild[Server Model])),VLOOKUP(HostBuild[Server Model],[1]!ServerModelsTier[#Data],5,FALSE),"")</f>
        <v/>
      </c>
      <c r="AP155" s="44"/>
      <c r="AQ155" s="44"/>
      <c r="AR155" s="46"/>
      <c r="AS155" s="108"/>
      <c r="AT155" s="47"/>
      <c r="AU155" s="109" t="str">
        <f>IF(IFERROR(FIND("P-Series",HostBuild[Server Tier]),0),CEILING((HostBuild[Existing CPUs]+HostBuild[CPU])*16,8),"")</f>
        <v/>
      </c>
      <c r="AV155" s="48"/>
      <c r="AW155" s="124"/>
      <c r="AX155" s="124"/>
      <c r="AY155" s="124"/>
      <c r="AZ155" s="49"/>
      <c r="BA155" s="124"/>
      <c r="BB155" s="124"/>
      <c r="BC155" s="42"/>
      <c r="BD155" s="124"/>
      <c r="BE155" s="124"/>
      <c r="BF155" s="124"/>
      <c r="BG155" s="124"/>
      <c r="BH155" s="124"/>
      <c r="BI155" s="124"/>
      <c r="BJ155" s="124"/>
      <c r="BK155"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55" s="127"/>
      <c r="BM155" s="129">
        <f>IF(ISNUMBER(HostBuild[Recommended SAN (GB)]),HostBuild[Recommended SAN (GB)])+IF(HostBuild[Additional SAN (GB)]&gt;0,CEILING(HostBuild[Additional SAN (GB)],LUN),-(CEILING(-HostBuild[Additional SAN (GB)],LUN)))</f>
        <v>0</v>
      </c>
      <c r="BN155" s="128"/>
      <c r="BO155" s="129">
        <f>HostBuild[SAN (GB)
NEEDED TODAY]+CEILING(HostBuild[SAN (GB)
RESERVED
DO NOT USE TO BUILD], LUN)</f>
        <v>0</v>
      </c>
      <c r="BP155" s="130"/>
      <c r="BQ155" s="131"/>
      <c r="BR155" s="125" t="s">
        <v>76</v>
      </c>
      <c r="BS155" s="110">
        <f>IF(HostBuild[Existing Server?]&lt;&gt;"Yes - Inside this BoM",IF(ISNUMBER(HostBuild[RAM 
(GB)]),IF(HostBuild[Existing RAM (GB)]+HostBuild[RAM 
(GB)]&gt;0,IF(HostBuild[Virtual Platform Storage Type]="NAS",110+HostBuild[Existing RAM (GB)]+HostBuild[RAM 
(GB)]*1.75,0),0),0),0)</f>
        <v>0</v>
      </c>
      <c r="BT155" s="111"/>
      <c r="BU155" s="112">
        <f>IF(ISNUMBER(HostBuild[Recommended NAS (GB)]),HostBuild[Recommended NAS (GB)])+HostBuild[Additional NAS (GB)]</f>
        <v>0</v>
      </c>
      <c r="BV155" s="50"/>
      <c r="BW155" s="50"/>
      <c r="BX155" s="133">
        <f>IFERROR((HostBuild[SAN (GB)
End-State
DO NOT USE TO BUILD]+HostBuild[SAN (GB) Shared])*25%,"")</f>
        <v>0</v>
      </c>
      <c r="BY155" s="113">
        <f>IFERROR(HostBuild[Archive
Full (GB)]*15%,"")</f>
        <v>0</v>
      </c>
      <c r="BZ155" s="51"/>
      <c r="CA155" s="51"/>
      <c r="CB155" s="52"/>
      <c r="CC155" s="53"/>
      <c r="CD155" s="52"/>
      <c r="CE155" s="54"/>
      <c r="CF155" s="128"/>
      <c r="CG155" s="114"/>
      <c r="CH155" s="55"/>
      <c r="CI155" s="56"/>
      <c r="CJ155" s="57"/>
      <c r="CK155" s="58"/>
      <c r="CL155" s="59">
        <f>IFERROR(IF(FIND(CL$1,$W155)&gt;0,IF(INDEX([1]!Product_Pricing_Table[#Data],MATCH(CL$1,Products,0),2)="Cores",IF(HostBuild[Use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5" s="59">
        <f>IFERROR(IF(FIND(CM$1,$W155)&gt;0,IF(INDEX([1]!Product_Pricing_Table[#Data],MATCH(CM$1,Products,0),2)="Cores",IF(HostBuild[Use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5" s="59">
        <f>IFERROR(IF(FIND(CN$1,$W155)&gt;0,IF(INDEX([1]!Product_Pricing_Table[#Data],MATCH(CN$1,Products,0),2)="Cores",IF(HostBuild[Use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5" s="59">
        <f>IFERROR(IF(FIND(CO$1,$W155)&gt;0,IF(INDEX([1]!Product_Pricing_Table[#Data],MATCH(CO$1,Products,0),2)="Cores",IF(HostBuild[Use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5" s="59">
        <f>IFERROR(IF(FIND(CP$1,$W155)&gt;0,IF(INDEX([1]!Product_Pricing_Table[#Data],MATCH(CP$1,Products,0),2)="Cores",IF(HostBuild[Use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5" s="59">
        <f>IFERROR(IF(FIND(CQ$1,$W155)&gt;0,IF(INDEX([1]!Product_Pricing_Table[#Data],MATCH(CQ$1,Products,0),2)="Cores",IF(HostBuild[Use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5" s="59">
        <f>IFERROR(IF(FIND(CR$1,$W155)&gt;0,IF(INDEX([1]!Product_Pricing_Table[#Data],MATCH(CR$1,Products,0),2)="Cores",IF(HostBuild[Use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5" s="59">
        <f>IFERROR(IF(FIND(CS$1,$W155)&gt;0,IF(INDEX([1]!Product_Pricing_Table[#Data],MATCH(CS$1,Products,0),2)="Cores",IF(HostBuild[Use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5" s="59">
        <f>IFERROR(IF(FIND(CT$1,$W155)&gt;0,IF(INDEX([1]!Product_Pricing_Table[#Data],MATCH(CT$1,Products,0),2)="Cores",IF(HostBuild[Use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5" s="59">
        <f>IFERROR(IF(FIND(CU$1,$W155)&gt;0,IF(INDEX([1]!Product_Pricing_Table[#Data],MATCH(CU$1,Products,0),2)="Cores",IF(HostBuild[Use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5" s="59">
        <f>IFERROR(IF(FIND(CV$1,$W155)&gt;0,IF(INDEX([1]!Product_Pricing_Table[#Data],MATCH(CV$1,Products,0),2)="Cores",IF(HostBuild[Use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5" s="59">
        <f>IFERROR(IF(FIND(CW$1,$W155)&gt;0,IF(INDEX([1]!Product_Pricing_Table[#Data],MATCH(CW$1,Products,0),2)="Cores",IF(HostBuild[Use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5" s="59">
        <f>IFERROR(IF(FIND(CX$1,$W155)&gt;0,IF(INDEX([1]!Product_Pricing_Table[#Data],MATCH(CX$1,Products,0),2)="Cores",IF(HostBuild[Use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5" s="59">
        <f>IFERROR(IF(FIND(CY$1,$W155)&gt;0,IF(INDEX([1]!Product_Pricing_Table[#Data],MATCH(CY$1,Products,0),2)="Cores",IF(HostBuild[Use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5" s="59">
        <f>IFERROR(IF(FIND(CZ$1,$W155)&gt;0,IF(INDEX([1]!Product_Pricing_Table[#Data],MATCH(CZ$1,Products,0),2)="Cores",IF(HostBuild[Use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5" s="59">
        <f>IFERROR(IF(FIND(DA$1,$W155)&gt;0,IF(INDEX([1]!Product_Pricing_Table[#Data],MATCH(DA$1,Products,0),2)="Cores",IF(HostBuild[Use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5" s="59">
        <f>IFERROR(IF(FIND(DB$1,$W155)&gt;0,IF(INDEX([1]!Product_Pricing_Table[#Data],MATCH(DB$1,Products,0),2)="Cores",IF(HostBuild[Use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5" s="59">
        <f>IFERROR(IF(FIND(DC$1,$W155)&gt;0,IF(INDEX([1]!Product_Pricing_Table[#Data],MATCH(DC$1,Products,0),2)="Cores",IF(HostBuild[Use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5" s="59">
        <f>IFERROR(IF(FIND(DD$1,$W155)&gt;0,IF(INDEX([1]!Product_Pricing_Table[#Data],MATCH(DD$1,Products,0),2)="Cores",IF(HostBuild[Use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5" s="59">
        <f>IFERROR(IF(FIND(DE$1,$W155)&gt;0,IF(INDEX([1]!Product_Pricing_Table[#Data],MATCH(DE$1,Products,0),2)="Cores",IF(HostBuild[Use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5" s="60">
        <f>IFERROR(IF(FIND(DF$1,$W155)&gt;0,IF(INDEX([1]!Product_Pricing_Table[#Data],MATCH(DF$1,Products,0),2)="Cores",IF(HostBuild[Use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5" s="60">
        <f>IFERROR(IF(FIND(DG$1,$W155)&gt;0,IF(INDEX([1]!Product_Pricing_Table[#Data],MATCH(DG$1,Products,0),2)="Cores",IF(HostBuild[Use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5" s="59">
        <f>IFERROR(IF(FIND(DH$1,$W155)&gt;0,IF(INDEX([1]!Product_Pricing_Table[#Data],MATCH(DH$1,Products,0),2)="Cores",IF(HostBuild[Use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5" s="60">
        <f>IFERROR(IF(FIND(DI$1,$W155)&gt;0,IF(INDEX([1]!Product_Pricing_Table[#Data],MATCH(DI$1,Products,0),2)="Cores",IF(HostBuild[Use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5" s="59">
        <f>IFERROR(IF(FIND(DJ$1,$W155)&gt;0,IF(INDEX([1]!Product_Pricing_Table[#Data],MATCH(DJ$1,Products,0),2)="Cores",IF(HostBuild[Use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5" s="59">
        <f>IFERROR(IF(FIND(DK$1,$W155)&gt;0,IF(INDEX([1]!Product_Pricing_Table[#Data],MATCH(DK$1,Products,0),2)="Cores",IF(HostBuild[Use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5" s="59">
        <f>IFERROR(IF(FIND(DL$1,$W155)&gt;0,IF(INDEX([1]!Product_Pricing_Table[#Data],MATCH(DL$1,Products,0),2)="Cores",IF(HostBuild[Use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5" s="59">
        <f>IFERROR(IF(FIND(DM$1,$W155)&gt;0,IF(INDEX([1]!Product_Pricing_Table[#Data],MATCH(DM$1,Products,0),2)="Cores",IF(HostBuild[Use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5" s="59">
        <f>IFERROR(IF(FIND(DN$1,$W155)&gt;0,IF(INDEX([1]!Product_Pricing_Table[#Data],MATCH(DN$1,Products,0),2)="Cores",IF(HostBuild[Use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5" s="59">
        <f>IFERROR(IF(FIND(DO$1,$W155)&gt;0,IF(INDEX([1]!Product_Pricing_Table[#Data],MATCH(DO$1,Products,0),2)="Cores",IF(HostBuild[Use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5" s="59">
        <f>IFERROR(IF(FIND(DP$1,$W155)&gt;0,IF(INDEX([1]!Product_Pricing_Table[#Data],MATCH(DP$1,Products,0),2)="Cores",IF(HostBuild[Use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5" s="59">
        <f>IFERROR(IF(FIND(DQ$1,$W155)&gt;0,IF(INDEX([1]!Product_Pricing_Table[#Data],MATCH(DQ$1,Products,0),2)="Cores",IF(HostBuild[Use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5" s="59">
        <f>IFERROR(IF(FIND(DR$1,$W155)&gt;0,IF(INDEX([1]!Product_Pricing_Table[#Data],MATCH(DR$1,Products,0),2)="Cores",IF(HostBuild[Use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5" s="59">
        <f>IFERROR(IF(FIND(DS$1,$W155)&gt;0,IF(INDEX([1]!Product_Pricing_Table[#Data],MATCH(DS$1,Products,0),2)="Cores",IF(HostBuild[Use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5" s="59">
        <f>IFERROR(IF(FIND(DT$1,$W155)&gt;0,IF(INDEX([1]!Product_Pricing_Table[#Data],MATCH(DT$1,Products,0),2)="Cores",IF(HostBuild[Use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5" s="59">
        <f>IFERROR(IF(FIND(DU$1,$W155)&gt;0,IF(INDEX([1]!Product_Pricing_Table[#Data],MATCH(DU$1,Products,0),2)="Cores",IF(HostBuild[Use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5" s="59">
        <f>IFERROR(IF(FIND(DV$1,$W155)&gt;0,IF(INDEX([1]!Product_Pricing_Table[#Data],MATCH(DV$1,Products,0),2)="Cores",IF(HostBuild[Use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5" s="59">
        <f>IFERROR(IF(FIND(DW$1,$W155)&gt;0,IF(INDEX([1]!Product_Pricing_Table[#Data],MATCH(DW$1,Products,0),2)="Cores",IF(HostBuild[Use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5" s="59">
        <f>IFERROR(IF(FIND(DX$1,$W155)&gt;0,IF(INDEX([1]!Product_Pricing_Table[#Data],MATCH(DX$1,Products,0),2)="Cores",IF(HostBuild[Use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5" s="59">
        <f>IFERROR(IF(FIND(DY$1,$W155)&gt;0,IF(INDEX([1]!Product_Pricing_Table[#Data],MATCH(DY$1,Products,0),2)="Cores",IF(HostBuild[Use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5" s="59">
        <f>IFERROR(IF(FIND(DZ$1,$W155)&gt;0,IF(INDEX([1]!Product_Pricing_Table[#Data],MATCH(DZ$1,Products,0),2)="Cores",IF(HostBuild[Use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5" s="59">
        <f>IFERROR(IF(FIND(EA$1,$W155)&gt;0,IF(INDEX([1]!Product_Pricing_Table[#Data],MATCH(EA$1,Products,0),2)="Cores",IF(HostBuild[Use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5" s="59">
        <f>IFERROR(IF(FIND(EB$1,$W155)&gt;0,IF(INDEX([1]!Product_Pricing_Table[#Data],MATCH(EB$1,Products,0),2)="Cores",IF(HostBuild[Use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5" s="60">
        <f>IFERROR(IF(FIND(EC$1,$W155)&gt;0,IF(INDEX([1]!Product_Pricing_Table[#Data],MATCH(EC$1,Products,0),2)="Cores",IF(HostBuild[Use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5" s="59">
        <f>IFERROR(IF(FIND(ED$1,$W155)&gt;0,IF(INDEX([1]!Product_Pricing_Table[#Data],MATCH(ED$1,Products,0),2)="Cores",IF(HostBuild[Use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5" s="59">
        <f>IFERROR(IF(FIND(EE$1,$W155)&gt;0,IF(INDEX([1]!Product_Pricing_Table[#Data],MATCH(EE$1,Products,0),2)="Cores",IF(HostBuild[Use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5" s="59">
        <f>IFERROR(IF(FIND(EF$1,$W155)&gt;0,IF(INDEX([1]!Product_Pricing_Table[#Data],MATCH(EF$1,Products,0),2)="Cores",IF(HostBuild[Use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5" s="59">
        <f>IFERROR(IF(FIND(EG$1,$W155)&gt;0,IF(INDEX([1]!Product_Pricing_Table[#Data],MATCH(EG$1,Products,0),2)="Cores",IF(HostBuild[Use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5" s="59">
        <f>IFERROR(IF(FIND(EH$1,$W155)&gt;0,IF(INDEX([1]!Product_Pricing_Table[#Data],MATCH(EH$1,Products,0),2)="Cores",IF(HostBuild[Use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5" s="59">
        <f>IFERROR(IF(FIND(EI$1,$W155)&gt;0,IF(INDEX([1]!Product_Pricing_Table[#Data],MATCH(EI$1,Products,0),2)="Cores",IF(HostBuild[Use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5" s="59">
        <f>IFERROR(IF(FIND(EJ$1,$W155)&gt;0,IF(INDEX([1]!Product_Pricing_Table[#Data],MATCH(EJ$1,Products,0),2)="Cores",IF(HostBuild[Use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5" s="60">
        <f>IFERROR(IF(FIND(EK$1,$W155)&gt;0,IF(INDEX([1]!Product_Pricing_Table[#Data],MATCH(EK$1,Products,0),2)="Cores",IF(HostBuild[Use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5" s="61"/>
      <c r="EM155" s="62"/>
      <c r="EN155" s="63"/>
      <c r="EO155"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5" s="132">
        <f>(HostBuild[Archive
Full (GB)]+HostBuild[Archive
Incr (GB)])*Storage_DC_Dist_Tape_2014</f>
        <v>0</v>
      </c>
      <c r="ER155" s="132">
        <f>IF(ISNUMBER(HostBuild[Server HW Costs
(Monthly)]),SUM(HostBuild[[#This Row],[Server HW Costs
(Monthly)]:[Tape Costs
(Monthly)]]),0)</f>
        <v>0</v>
      </c>
      <c r="ES155" s="65">
        <f>HostBuild[Software Costs
'[Year 1']
(Monthly)]+HostBuild[Total Hardware Costs
(Monthly)]</f>
        <v>0</v>
      </c>
      <c r="ET155" s="65">
        <f>IFERROR(IF(FIND("Safenet",HostBuild[Server Model]),Safenet_PSE_PL600_Maint,0),0)+IFERROR(IF(FIND("XI52",HostBuild[Server Model]),IBM_DIA_XI52_Maint,0),0)+HostBuild[Software Costs
'[After Year 1']
(Monthly)]+HostBuild[Total Hardware Costs
(Monthly)]</f>
        <v>0</v>
      </c>
      <c r="EU155" s="66">
        <f>SUM(HostBuild[[#This Row],[Server Cost Breakdown]:[Network Cost]])</f>
        <v>0</v>
      </c>
      <c r="EV155" s="67">
        <f>IF(HostBuild[Existing Server?]="Yes - Inside this BoM",0,SUMIF(HostBuild[Alias],HostBuild[Alias],HostBuild[CPU])+SUMIF(HostBuild[Alias],HostBuild[Alias],HostBuild[Existing CPUs]))</f>
        <v>0</v>
      </c>
      <c r="EW155" s="67">
        <f>IF(HostBuild[Existing Server?]="Yes - Inside this BoM",0,SUMIF(HostBuild[Alias],HostBuild[Alias],HostBuild[Cores 
(Licensed Units)])+SUMIF(HostBuild[Alias],HostBuild[Alias],HostBuild[Existing Cores]))</f>
        <v>0</v>
      </c>
      <c r="EX155" s="67">
        <f>IF(HostBuild[Existing Server?]="Yes - Inside this BoM",0,SUMIF(HostBuild[Alias],HostBuild[Alias],HostBuild[RAM 
(GB)])+SUMIF(HostBuild[Alias],HostBuild[Alias],HostBuild[Existing RAM (GB)]))</f>
        <v>0</v>
      </c>
      <c r="EY15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5" s="66">
        <f>IF(ISBLANK(HostBuild[Server Model]),0,IF(HostBuild[Server Tier]="VMware",0,VLOOKUP(HostBuild[Server Tier],[1]!ServerTierRates[#Data],2,0))*HostBuild[CPU]*IF(AND(HostBuild[Server Type]="pSeries",HostBuild[Virtual Platform Storage Type]="Cloud-SAN"),0.25,1))</f>
        <v>0</v>
      </c>
      <c r="FD155" s="66">
        <f>0</f>
        <v>0</v>
      </c>
      <c r="FE155" s="66">
        <f>IF(HostBuild[Server Type]="VMware",HostBuild[RAM 
(GB)]*IF(ISERROR(FIND("DevCloud", HostBuild[Server Model])&gt;0),vRAM_per_vCPU_2014_Monthly,vRAM_per_vCPU_2014_Daily*30),0)</f>
        <v>0</v>
      </c>
      <c r="FF15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5" s="69">
        <f>IF(HostBuild[Server Tier]="VMware",0,IF(LEFT(HostBuild[Existing Server?],3)="Yes",0,IF(OR(HostBuild[Server Type]="Sun",HostBuild[Server Type]="pSeries"),Support_Direct_Server_Sun_per_OS_2014,IF(HostBuild[Server Type]="x86",Support_Direct_Server_x86_Wintel_per_OS_2014,0))))</f>
        <v>0</v>
      </c>
      <c r="FI15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6" spans="1:165" hidden="1">
      <c r="A156" s="122" t="s">
        <v>53</v>
      </c>
      <c r="B156" s="36"/>
      <c r="C156" s="36"/>
      <c r="D156" s="36"/>
      <c r="E156" s="37"/>
      <c r="F156" s="37"/>
      <c r="G156" s="103"/>
      <c r="H156" s="103"/>
      <c r="I156" s="38"/>
      <c r="J156" s="37"/>
      <c r="K156" s="37"/>
      <c r="L156" s="37"/>
      <c r="M156" s="103" t="e">
        <f ca="1">IF(rngIsDate(HostBuild[CTO Acceptance]),"Y","N")</f>
        <v>#NAME?</v>
      </c>
      <c r="N156" s="123" t="s">
        <v>3</v>
      </c>
      <c r="O156" s="39"/>
      <c r="P156" s="39"/>
      <c r="Q156" s="123" t="s">
        <v>1</v>
      </c>
      <c r="R156" s="126" t="str">
        <f>IF(NOT(ISBLANK(HostBuild[Env Label])),IFERROR(VLOOKUP(HostBuild[Env Label],[1]!tEnv[#Data],3,FALSE),""),"")</f>
        <v/>
      </c>
      <c r="S156" s="104"/>
      <c r="T156" s="40"/>
      <c r="U156" s="105"/>
      <c r="V156" s="123" t="s">
        <v>386</v>
      </c>
      <c r="W156" s="123"/>
      <c r="X156" s="123"/>
      <c r="Y156" s="123" t="s">
        <v>188</v>
      </c>
      <c r="Z156" s="126" t="str">
        <f>IF(NOT(ISBLANK(HostBuild[[#This Row],[Product 
(Acronym)]])),CONCATENATE(HostBuild[[#This Row],[Type]],"-",HostBuild[[#This Row],[Product 
(Acronym)]]),"")</f>
        <v>-CBOL</v>
      </c>
      <c r="AA156" s="106"/>
      <c r="AB156" s="106" t="s">
        <v>76</v>
      </c>
      <c r="AC156" s="41"/>
      <c r="AD156" s="42"/>
      <c r="AE156" s="42"/>
      <c r="AF156" s="43"/>
      <c r="AG156" s="124"/>
      <c r="AH156" s="107"/>
      <c r="AI156" s="124"/>
      <c r="AJ156" s="123">
        <f>IF(COUNTIF(HostBuild[Alias],HostBuild[Alias]),1/COUNTIF(HostBuild[Alias],HostBuild[Alias]),0)</f>
        <v>0</v>
      </c>
      <c r="AK156" s="124"/>
      <c r="AL156" s="124"/>
      <c r="AM156" s="44"/>
      <c r="AN156" s="45" t="str">
        <f>IF(NOT(ISBLANK(HostBuild[Server Model])),VLOOKUP(HostBuild[Server Model],[1]!ServerModelsTier[#Data],2,FALSE),"")</f>
        <v/>
      </c>
      <c r="AO156" s="45" t="str">
        <f>IF(NOT(ISBLANK(HostBuild[Server Model])),VLOOKUP(HostBuild[Server Model],[1]!ServerModelsTier[#Data],5,FALSE),"")</f>
        <v/>
      </c>
      <c r="AP156" s="44"/>
      <c r="AQ156" s="44"/>
      <c r="AR156" s="46"/>
      <c r="AS156" s="108"/>
      <c r="AT156" s="47"/>
      <c r="AU156" s="109" t="str">
        <f>IF(IFERROR(FIND("P-Series",HostBuild[Server Tier]),0),CEILING((HostBuild[Existing CPUs]+HostBuild[CPU])*16,8),"")</f>
        <v/>
      </c>
      <c r="AV156" s="48"/>
      <c r="AW156" s="124"/>
      <c r="AX156" s="124"/>
      <c r="AY156" s="124"/>
      <c r="AZ156" s="49"/>
      <c r="BA156" s="124"/>
      <c r="BB156" s="124"/>
      <c r="BC156" s="42"/>
      <c r="BD156" s="124"/>
      <c r="BE156" s="124"/>
      <c r="BF156" s="124"/>
      <c r="BG156" s="124"/>
      <c r="BH156" s="124"/>
      <c r="BI156" s="124"/>
      <c r="BJ156" s="124"/>
      <c r="BK156"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56" s="127"/>
      <c r="BM156" s="129">
        <f>IF(ISNUMBER(HostBuild[Recommended SAN (GB)]),HostBuild[Recommended SAN (GB)])+IF(HostBuild[Additional SAN (GB)]&gt;0,CEILING(HostBuild[Additional SAN (GB)],LUN),-(CEILING(-HostBuild[Additional SAN (GB)],LUN)))</f>
        <v>0</v>
      </c>
      <c r="BN156" s="128"/>
      <c r="BO156" s="129">
        <f>HostBuild[SAN (GB)
NEEDED TODAY]+CEILING(HostBuild[SAN (GB)
RESERVED
DO NOT USE TO BUILD], LUN)</f>
        <v>0</v>
      </c>
      <c r="BP156" s="130"/>
      <c r="BQ156" s="131"/>
      <c r="BR156" s="125" t="s">
        <v>76</v>
      </c>
      <c r="BS156" s="110">
        <f>IF(HostBuild[Existing Server?]&lt;&gt;"Yes - Inside this BoM",IF(ISNUMBER(HostBuild[RAM 
(GB)]),IF(HostBuild[Existing RAM (GB)]+HostBuild[RAM 
(GB)]&gt;0,IF(HostBuild[Virtual Platform Storage Type]="NAS",110+HostBuild[Existing RAM (GB)]+HostBuild[RAM 
(GB)]*1.75,0),0),0),0)</f>
        <v>0</v>
      </c>
      <c r="BT156" s="111"/>
      <c r="BU156" s="112">
        <f>IF(ISNUMBER(HostBuild[Recommended NAS (GB)]),HostBuild[Recommended NAS (GB)])+HostBuild[Additional NAS (GB)]</f>
        <v>0</v>
      </c>
      <c r="BV156" s="50"/>
      <c r="BW156" s="50"/>
      <c r="BX156" s="133">
        <f>IFERROR((HostBuild[SAN (GB)
End-State
DO NOT USE TO BUILD]+HostBuild[SAN (GB) Shared])*25%,"")</f>
        <v>0</v>
      </c>
      <c r="BY156" s="113">
        <f>IFERROR(HostBuild[Archive
Full (GB)]*15%,"")</f>
        <v>0</v>
      </c>
      <c r="BZ156" s="51"/>
      <c r="CA156" s="51"/>
      <c r="CB156" s="52"/>
      <c r="CC156" s="53"/>
      <c r="CD156" s="52"/>
      <c r="CE156" s="54"/>
      <c r="CF156" s="128"/>
      <c r="CG156" s="114"/>
      <c r="CH156" s="55"/>
      <c r="CI156" s="56"/>
      <c r="CJ156" s="57"/>
      <c r="CK156" s="58"/>
      <c r="CL156" s="59">
        <f>IFERROR(IF(FIND(CL$1,$W156)&gt;0,IF(INDEX([1]!Product_Pricing_Table[#Data],MATCH(CL$1,Products,0),2)="Cores",IF(HostBuild[Use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6" s="59">
        <f>IFERROR(IF(FIND(CM$1,$W156)&gt;0,IF(INDEX([1]!Product_Pricing_Table[#Data],MATCH(CM$1,Products,0),2)="Cores",IF(HostBuild[Use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6" s="59">
        <f>IFERROR(IF(FIND(CN$1,$W156)&gt;0,IF(INDEX([1]!Product_Pricing_Table[#Data],MATCH(CN$1,Products,0),2)="Cores",IF(HostBuild[Use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6" s="59">
        <f>IFERROR(IF(FIND(CO$1,$W156)&gt;0,IF(INDEX([1]!Product_Pricing_Table[#Data],MATCH(CO$1,Products,0),2)="Cores",IF(HostBuild[Use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6" s="59">
        <f>IFERROR(IF(FIND(CP$1,$W156)&gt;0,IF(INDEX([1]!Product_Pricing_Table[#Data],MATCH(CP$1,Products,0),2)="Cores",IF(HostBuild[Use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6" s="59">
        <f>IFERROR(IF(FIND(CQ$1,$W156)&gt;0,IF(INDEX([1]!Product_Pricing_Table[#Data],MATCH(CQ$1,Products,0),2)="Cores",IF(HostBuild[Use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6" s="59">
        <f>IFERROR(IF(FIND(CR$1,$W156)&gt;0,IF(INDEX([1]!Product_Pricing_Table[#Data],MATCH(CR$1,Products,0),2)="Cores",IF(HostBuild[Use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6" s="59">
        <f>IFERROR(IF(FIND(CS$1,$W156)&gt;0,IF(INDEX([1]!Product_Pricing_Table[#Data],MATCH(CS$1,Products,0),2)="Cores",IF(HostBuild[Use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6" s="59">
        <f>IFERROR(IF(FIND(CT$1,$W156)&gt;0,IF(INDEX([1]!Product_Pricing_Table[#Data],MATCH(CT$1,Products,0),2)="Cores",IF(HostBuild[Use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6" s="59">
        <f>IFERROR(IF(FIND(CU$1,$W156)&gt;0,IF(INDEX([1]!Product_Pricing_Table[#Data],MATCH(CU$1,Products,0),2)="Cores",IF(HostBuild[Use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6" s="59">
        <f>IFERROR(IF(FIND(CV$1,$W156)&gt;0,IF(INDEX([1]!Product_Pricing_Table[#Data],MATCH(CV$1,Products,0),2)="Cores",IF(HostBuild[Use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6" s="59">
        <f>IFERROR(IF(FIND(CW$1,$W156)&gt;0,IF(INDEX([1]!Product_Pricing_Table[#Data],MATCH(CW$1,Products,0),2)="Cores",IF(HostBuild[Use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6" s="59">
        <f>IFERROR(IF(FIND(CX$1,$W156)&gt;0,IF(INDEX([1]!Product_Pricing_Table[#Data],MATCH(CX$1,Products,0),2)="Cores",IF(HostBuild[Use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6" s="59">
        <f>IFERROR(IF(FIND(CY$1,$W156)&gt;0,IF(INDEX([1]!Product_Pricing_Table[#Data],MATCH(CY$1,Products,0),2)="Cores",IF(HostBuild[Use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6" s="59">
        <f>IFERROR(IF(FIND(CZ$1,$W156)&gt;0,IF(INDEX([1]!Product_Pricing_Table[#Data],MATCH(CZ$1,Products,0),2)="Cores",IF(HostBuild[Use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6" s="59">
        <f>IFERROR(IF(FIND(DA$1,$W156)&gt;0,IF(INDEX([1]!Product_Pricing_Table[#Data],MATCH(DA$1,Products,0),2)="Cores",IF(HostBuild[Use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6" s="59">
        <f>IFERROR(IF(FIND(DB$1,$W156)&gt;0,IF(INDEX([1]!Product_Pricing_Table[#Data],MATCH(DB$1,Products,0),2)="Cores",IF(HostBuild[Use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6" s="59">
        <f>IFERROR(IF(FIND(DC$1,$W156)&gt;0,IF(INDEX([1]!Product_Pricing_Table[#Data],MATCH(DC$1,Products,0),2)="Cores",IF(HostBuild[Use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6" s="59">
        <f>IFERROR(IF(FIND(DD$1,$W156)&gt;0,IF(INDEX([1]!Product_Pricing_Table[#Data],MATCH(DD$1,Products,0),2)="Cores",IF(HostBuild[Use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6" s="59">
        <f>IFERROR(IF(FIND(DE$1,$W156)&gt;0,IF(INDEX([1]!Product_Pricing_Table[#Data],MATCH(DE$1,Products,0),2)="Cores",IF(HostBuild[Use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6" s="60">
        <f>IFERROR(IF(FIND(DF$1,$W156)&gt;0,IF(INDEX([1]!Product_Pricing_Table[#Data],MATCH(DF$1,Products,0),2)="Cores",IF(HostBuild[Use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6" s="60">
        <f>IFERROR(IF(FIND(DG$1,$W156)&gt;0,IF(INDEX([1]!Product_Pricing_Table[#Data],MATCH(DG$1,Products,0),2)="Cores",IF(HostBuild[Use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6" s="59">
        <f>IFERROR(IF(FIND(DH$1,$W156)&gt;0,IF(INDEX([1]!Product_Pricing_Table[#Data],MATCH(DH$1,Products,0),2)="Cores",IF(HostBuild[Use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6" s="60">
        <f>IFERROR(IF(FIND(DI$1,$W156)&gt;0,IF(INDEX([1]!Product_Pricing_Table[#Data],MATCH(DI$1,Products,0),2)="Cores",IF(HostBuild[Use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6" s="59">
        <f>IFERROR(IF(FIND(DJ$1,$W156)&gt;0,IF(INDEX([1]!Product_Pricing_Table[#Data],MATCH(DJ$1,Products,0),2)="Cores",IF(HostBuild[Use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6" s="59">
        <f>IFERROR(IF(FIND(DK$1,$W156)&gt;0,IF(INDEX([1]!Product_Pricing_Table[#Data],MATCH(DK$1,Products,0),2)="Cores",IF(HostBuild[Use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6" s="59">
        <f>IFERROR(IF(FIND(DL$1,$W156)&gt;0,IF(INDEX([1]!Product_Pricing_Table[#Data],MATCH(DL$1,Products,0),2)="Cores",IF(HostBuild[Use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6" s="59">
        <f>IFERROR(IF(FIND(DM$1,$W156)&gt;0,IF(INDEX([1]!Product_Pricing_Table[#Data],MATCH(DM$1,Products,0),2)="Cores",IF(HostBuild[Use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6" s="59">
        <f>IFERROR(IF(FIND(DN$1,$W156)&gt;0,IF(INDEX([1]!Product_Pricing_Table[#Data],MATCH(DN$1,Products,0),2)="Cores",IF(HostBuild[Use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6" s="59">
        <f>IFERROR(IF(FIND(DO$1,$W156)&gt;0,IF(INDEX([1]!Product_Pricing_Table[#Data],MATCH(DO$1,Products,0),2)="Cores",IF(HostBuild[Use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6" s="59">
        <f>IFERROR(IF(FIND(DP$1,$W156)&gt;0,IF(INDEX([1]!Product_Pricing_Table[#Data],MATCH(DP$1,Products,0),2)="Cores",IF(HostBuild[Use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6" s="59">
        <f>IFERROR(IF(FIND(DQ$1,$W156)&gt;0,IF(INDEX([1]!Product_Pricing_Table[#Data],MATCH(DQ$1,Products,0),2)="Cores",IF(HostBuild[Use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6" s="59">
        <f>IFERROR(IF(FIND(DR$1,$W156)&gt;0,IF(INDEX([1]!Product_Pricing_Table[#Data],MATCH(DR$1,Products,0),2)="Cores",IF(HostBuild[Use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6" s="59">
        <f>IFERROR(IF(FIND(DS$1,$W156)&gt;0,IF(INDEX([1]!Product_Pricing_Table[#Data],MATCH(DS$1,Products,0),2)="Cores",IF(HostBuild[Use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6" s="59">
        <f>IFERROR(IF(FIND(DT$1,$W156)&gt;0,IF(INDEX([1]!Product_Pricing_Table[#Data],MATCH(DT$1,Products,0),2)="Cores",IF(HostBuild[Use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6" s="59">
        <f>IFERROR(IF(FIND(DU$1,$W156)&gt;0,IF(INDEX([1]!Product_Pricing_Table[#Data],MATCH(DU$1,Products,0),2)="Cores",IF(HostBuild[Use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6" s="59">
        <f>IFERROR(IF(FIND(DV$1,$W156)&gt;0,IF(INDEX([1]!Product_Pricing_Table[#Data],MATCH(DV$1,Products,0),2)="Cores",IF(HostBuild[Use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6" s="59">
        <f>IFERROR(IF(FIND(DW$1,$W156)&gt;0,IF(INDEX([1]!Product_Pricing_Table[#Data],MATCH(DW$1,Products,0),2)="Cores",IF(HostBuild[Use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6" s="59">
        <f>IFERROR(IF(FIND(DX$1,$W156)&gt;0,IF(INDEX([1]!Product_Pricing_Table[#Data],MATCH(DX$1,Products,0),2)="Cores",IF(HostBuild[Use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6" s="59">
        <f>IFERROR(IF(FIND(DY$1,$W156)&gt;0,IF(INDEX([1]!Product_Pricing_Table[#Data],MATCH(DY$1,Products,0),2)="Cores",IF(HostBuild[Use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6" s="59">
        <f>IFERROR(IF(FIND(DZ$1,$W156)&gt;0,IF(INDEX([1]!Product_Pricing_Table[#Data],MATCH(DZ$1,Products,0),2)="Cores",IF(HostBuild[Use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6" s="59">
        <f>IFERROR(IF(FIND(EA$1,$W156)&gt;0,IF(INDEX([1]!Product_Pricing_Table[#Data],MATCH(EA$1,Products,0),2)="Cores",IF(HostBuild[Use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6" s="59">
        <f>IFERROR(IF(FIND(EB$1,$W156)&gt;0,IF(INDEX([1]!Product_Pricing_Table[#Data],MATCH(EB$1,Products,0),2)="Cores",IF(HostBuild[Use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6" s="60">
        <f>IFERROR(IF(FIND(EC$1,$W156)&gt;0,IF(INDEX([1]!Product_Pricing_Table[#Data],MATCH(EC$1,Products,0),2)="Cores",IF(HostBuild[Use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6" s="59">
        <f>IFERROR(IF(FIND(ED$1,$W156)&gt;0,IF(INDEX([1]!Product_Pricing_Table[#Data],MATCH(ED$1,Products,0),2)="Cores",IF(HostBuild[Use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6" s="59">
        <f>IFERROR(IF(FIND(EE$1,$W156)&gt;0,IF(INDEX([1]!Product_Pricing_Table[#Data],MATCH(EE$1,Products,0),2)="Cores",IF(HostBuild[Use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6" s="59">
        <f>IFERROR(IF(FIND(EF$1,$W156)&gt;0,IF(INDEX([1]!Product_Pricing_Table[#Data],MATCH(EF$1,Products,0),2)="Cores",IF(HostBuild[Use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6" s="59">
        <f>IFERROR(IF(FIND(EG$1,$W156)&gt;0,IF(INDEX([1]!Product_Pricing_Table[#Data],MATCH(EG$1,Products,0),2)="Cores",IF(HostBuild[Use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6" s="59">
        <f>IFERROR(IF(FIND(EH$1,$W156)&gt;0,IF(INDEX([1]!Product_Pricing_Table[#Data],MATCH(EH$1,Products,0),2)="Cores",IF(HostBuild[Use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6" s="59">
        <f>IFERROR(IF(FIND(EI$1,$W156)&gt;0,IF(INDEX([1]!Product_Pricing_Table[#Data],MATCH(EI$1,Products,0),2)="Cores",IF(HostBuild[Use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6" s="59">
        <f>IFERROR(IF(FIND(EJ$1,$W156)&gt;0,IF(INDEX([1]!Product_Pricing_Table[#Data],MATCH(EJ$1,Products,0),2)="Cores",IF(HostBuild[Use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6" s="60">
        <f>IFERROR(IF(FIND(EK$1,$W156)&gt;0,IF(INDEX([1]!Product_Pricing_Table[#Data],MATCH(EK$1,Products,0),2)="Cores",IF(HostBuild[Use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6" s="61"/>
      <c r="EM156" s="62"/>
      <c r="EN156" s="63"/>
      <c r="EO156"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6"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6" s="132">
        <f>(HostBuild[Archive
Full (GB)]+HostBuild[Archive
Incr (GB)])*Storage_DC_Dist_Tape_2014</f>
        <v>0</v>
      </c>
      <c r="ER156" s="132">
        <f>IF(ISNUMBER(HostBuild[Server HW Costs
(Monthly)]),SUM(HostBuild[[#This Row],[Server HW Costs
(Monthly)]:[Tape Costs
(Monthly)]]),0)</f>
        <v>0</v>
      </c>
      <c r="ES156" s="65">
        <f>HostBuild[Software Costs
'[Year 1']
(Monthly)]+HostBuild[Total Hardware Costs
(Monthly)]</f>
        <v>0</v>
      </c>
      <c r="ET156" s="65">
        <f>IFERROR(IF(FIND("Safenet",HostBuild[Server Model]),Safenet_PSE_PL600_Maint,0),0)+IFERROR(IF(FIND("XI52",HostBuild[Server Model]),IBM_DIA_XI52_Maint,0),0)+HostBuild[Software Costs
'[After Year 1']
(Monthly)]+HostBuild[Total Hardware Costs
(Monthly)]</f>
        <v>0</v>
      </c>
      <c r="EU156" s="66">
        <f>SUM(HostBuild[[#This Row],[Server Cost Breakdown]:[Network Cost]])</f>
        <v>0</v>
      </c>
      <c r="EV156" s="67">
        <f>IF(HostBuild[Existing Server?]="Yes - Inside this BoM",0,SUMIF(HostBuild[Alias],HostBuild[Alias],HostBuild[CPU])+SUMIF(HostBuild[Alias],HostBuild[Alias],HostBuild[Existing CPUs]))</f>
        <v>0</v>
      </c>
      <c r="EW156" s="67">
        <f>IF(HostBuild[Existing Server?]="Yes - Inside this BoM",0,SUMIF(HostBuild[Alias],HostBuild[Alias],HostBuild[Cores 
(Licensed Units)])+SUMIF(HostBuild[Alias],HostBuild[Alias],HostBuild[Existing Cores]))</f>
        <v>0</v>
      </c>
      <c r="EX156" s="67">
        <f>IF(HostBuild[Existing Server?]="Yes - Inside this BoM",0,SUMIF(HostBuild[Alias],HostBuild[Alias],HostBuild[RAM 
(GB)])+SUMIF(HostBuild[Alias],HostBuild[Alias],HostBuild[Existing RAM (GB)]))</f>
        <v>0</v>
      </c>
      <c r="EY156"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6"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6"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6"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6" s="66">
        <f>IF(ISBLANK(HostBuild[Server Model]),0,IF(HostBuild[Server Tier]="VMware",0,VLOOKUP(HostBuild[Server Tier],[1]!ServerTierRates[#Data],2,0))*HostBuild[CPU]*IF(AND(HostBuild[Server Type]="pSeries",HostBuild[Virtual Platform Storage Type]="Cloud-SAN"),0.25,1))</f>
        <v>0</v>
      </c>
      <c r="FD156" s="66">
        <f>0</f>
        <v>0</v>
      </c>
      <c r="FE156" s="66">
        <f>IF(HostBuild[Server Type]="VMware",HostBuild[RAM 
(GB)]*IF(ISERROR(FIND("DevCloud", HostBuild[Server Model])&gt;0),vRAM_per_vCPU_2014_Monthly,vRAM_per_vCPU_2014_Daily*30),0)</f>
        <v>0</v>
      </c>
      <c r="FF156"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6"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6" s="69">
        <f>IF(HostBuild[Server Tier]="VMware",0,IF(LEFT(HostBuild[Existing Server?],3)="Yes",0,IF(OR(HostBuild[Server Type]="Sun",HostBuild[Server Type]="pSeries"),Support_Direct_Server_Sun_per_OS_2014,IF(HostBuild[Server Type]="x86",Support_Direct_Server_x86_Wintel_per_OS_2014,0))))</f>
        <v>0</v>
      </c>
      <c r="FI156"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7" spans="1:165" ht="15.75" thickBot="1">
      <c r="A157" s="122" t="s">
        <v>53</v>
      </c>
      <c r="B157" s="36"/>
      <c r="C157" s="36"/>
      <c r="D157" s="36"/>
      <c r="E157" s="37"/>
      <c r="F157" s="37"/>
      <c r="G157" s="103"/>
      <c r="H157" s="103"/>
      <c r="I157" s="38"/>
      <c r="J157" s="37"/>
      <c r="K157" s="37"/>
      <c r="L157" s="37"/>
      <c r="M157" s="103" t="e">
        <f ca="1">IF(rngIsDate(HostBuild[CTO Acceptance]),"Y","N")</f>
        <v>#NAME?</v>
      </c>
      <c r="N157" s="123" t="s">
        <v>181</v>
      </c>
      <c r="O157" s="39"/>
      <c r="P157" s="39"/>
      <c r="Q157" s="123" t="s">
        <v>50</v>
      </c>
      <c r="R157" s="126" t="str">
        <f>IF(NOT(ISBLANK(HostBuild[Env Label])),IFERROR(VLOOKUP(HostBuild[Env Label],[1]!tEnv[#Data],3,FALSE),""),"")</f>
        <v/>
      </c>
      <c r="S157" s="104"/>
      <c r="T157" s="40"/>
      <c r="U157" s="105"/>
      <c r="V157" s="123" t="s">
        <v>386</v>
      </c>
      <c r="W157" s="123"/>
      <c r="X157" s="123"/>
      <c r="Y157" s="123" t="s">
        <v>188</v>
      </c>
      <c r="Z157" s="126" t="str">
        <f>IF(NOT(ISBLANK(HostBuild[[#This Row],[Product 
(Acronym)]])),CONCATENATE(HostBuild[[#This Row],[Type]],"-",HostBuild[[#This Row],[Product 
(Acronym)]]),"")</f>
        <v>-CBOL</v>
      </c>
      <c r="AA157" s="106"/>
      <c r="AB157" s="106" t="s">
        <v>76</v>
      </c>
      <c r="AC157" s="41"/>
      <c r="AD157" s="42"/>
      <c r="AE157" s="42"/>
      <c r="AF157" s="43"/>
      <c r="AG157" s="124"/>
      <c r="AH157" s="107"/>
      <c r="AI157" s="124"/>
      <c r="AJ157" s="123">
        <f>IF(COUNTIF(HostBuild[Alias],HostBuild[Alias]),1/COUNTIF(HostBuild[Alias],HostBuild[Alias]),0)</f>
        <v>0</v>
      </c>
      <c r="AK157" s="124"/>
      <c r="AL157" s="124"/>
      <c r="AM157" s="44"/>
      <c r="AN157" s="45" t="str">
        <f>IF(NOT(ISBLANK(HostBuild[Server Model])),VLOOKUP(HostBuild[Server Model],[1]!ServerModelsTier[#Data],2,FALSE),"")</f>
        <v/>
      </c>
      <c r="AO157" s="45" t="str">
        <f>IF(NOT(ISBLANK(HostBuild[Server Model])),VLOOKUP(HostBuild[Server Model],[1]!ServerModelsTier[#Data],5,FALSE),"")</f>
        <v/>
      </c>
      <c r="AP157" s="44"/>
      <c r="AQ157" s="44"/>
      <c r="AR157" s="46"/>
      <c r="AS157" s="108"/>
      <c r="AT157" s="47"/>
      <c r="AU157" s="109" t="str">
        <f>IF(IFERROR(FIND("P-Series",HostBuild[Server Tier]),0),CEILING((HostBuild[Existing CPUs]+HostBuild[CPU])*16,8),"")</f>
        <v/>
      </c>
      <c r="AV157" s="48"/>
      <c r="AW157" s="124"/>
      <c r="AX157" s="124"/>
      <c r="AY157" s="124"/>
      <c r="AZ157" s="49"/>
      <c r="BA157" s="124"/>
      <c r="BB157" s="124"/>
      <c r="BC157" s="42"/>
      <c r="BD157" s="124"/>
      <c r="BE157" s="124"/>
      <c r="BF157" s="124"/>
      <c r="BG157" s="124"/>
      <c r="BH157" s="124"/>
      <c r="BI157" s="124"/>
      <c r="BJ157" s="124"/>
      <c r="BK157"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57" s="127"/>
      <c r="BM157" s="129">
        <f>IF(ISNUMBER(HostBuild[Recommended SAN (GB)]),HostBuild[Recommended SAN (GB)])+IF(HostBuild[Additional SAN (GB)]&gt;0,CEILING(HostBuild[Additional SAN (GB)],LUN),-(CEILING(-HostBuild[Additional SAN (GB)],LUN)))</f>
        <v>0</v>
      </c>
      <c r="BN157" s="128"/>
      <c r="BO157" s="129">
        <f>HostBuild[SAN (GB)
NEEDED TODAY]+CEILING(HostBuild[SAN (GB)
RESERVED
DO NOT USE TO BUILD], LUN)</f>
        <v>0</v>
      </c>
      <c r="BP157" s="130"/>
      <c r="BQ157" s="131"/>
      <c r="BR157" s="125" t="s">
        <v>76</v>
      </c>
      <c r="BS157" s="110">
        <f>IF(HostBuild[Existing Server?]&lt;&gt;"Yes - Inside this BoM",IF(ISNUMBER(HostBuild[RAM 
(GB)]),IF(HostBuild[Existing RAM (GB)]+HostBuild[RAM 
(GB)]&gt;0,IF(HostBuild[Virtual Platform Storage Type]="NAS",110+HostBuild[Existing RAM (GB)]+HostBuild[RAM 
(GB)]*1.75,0),0),0),0)</f>
        <v>0</v>
      </c>
      <c r="BT157" s="111"/>
      <c r="BU157" s="112">
        <f>IF(ISNUMBER(HostBuild[Recommended NAS (GB)]),HostBuild[Recommended NAS (GB)])+HostBuild[Additional NAS (GB)]</f>
        <v>0</v>
      </c>
      <c r="BV157" s="50"/>
      <c r="BW157" s="50"/>
      <c r="BX157" s="133">
        <f>IFERROR((HostBuild[SAN (GB)
End-State
DO NOT USE TO BUILD]+HostBuild[SAN (GB) Shared])*25%,"")</f>
        <v>0</v>
      </c>
      <c r="BY157" s="113">
        <f>IFERROR(HostBuild[Archive
Full (GB)]*15%,"")</f>
        <v>0</v>
      </c>
      <c r="BZ157" s="51"/>
      <c r="CA157" s="51"/>
      <c r="CB157" s="52"/>
      <c r="CC157" s="53"/>
      <c r="CD157" s="52"/>
      <c r="CE157" s="54"/>
      <c r="CF157" s="128"/>
      <c r="CG157" s="114"/>
      <c r="CH157" s="55"/>
      <c r="CI157" s="56"/>
      <c r="CJ157" s="57"/>
      <c r="CK157" s="58"/>
      <c r="CL157" s="59">
        <f>IFERROR(IF(FIND(CL$1,$W157)&gt;0,IF(INDEX([1]!Product_Pricing_Table[#Data],MATCH(CL$1,Products,0),2)="Cores",IF(HostBuild[Use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7" s="59">
        <f>IFERROR(IF(FIND(CM$1,$W157)&gt;0,IF(INDEX([1]!Product_Pricing_Table[#Data],MATCH(CM$1,Products,0),2)="Cores",IF(HostBuild[Use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7" s="59">
        <f>IFERROR(IF(FIND(CN$1,$W157)&gt;0,IF(INDEX([1]!Product_Pricing_Table[#Data],MATCH(CN$1,Products,0),2)="Cores",IF(HostBuild[Use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7" s="59">
        <f>IFERROR(IF(FIND(CO$1,$W157)&gt;0,IF(INDEX([1]!Product_Pricing_Table[#Data],MATCH(CO$1,Products,0),2)="Cores",IF(HostBuild[Use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7" s="59">
        <f>IFERROR(IF(FIND(CP$1,$W157)&gt;0,IF(INDEX([1]!Product_Pricing_Table[#Data],MATCH(CP$1,Products,0),2)="Cores",IF(HostBuild[Use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7" s="59">
        <f>IFERROR(IF(FIND(CQ$1,$W157)&gt;0,IF(INDEX([1]!Product_Pricing_Table[#Data],MATCH(CQ$1,Products,0),2)="Cores",IF(HostBuild[Use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7" s="59">
        <f>IFERROR(IF(FIND(CR$1,$W157)&gt;0,IF(INDEX([1]!Product_Pricing_Table[#Data],MATCH(CR$1,Products,0),2)="Cores",IF(HostBuild[Use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7" s="59">
        <f>IFERROR(IF(FIND(CS$1,$W157)&gt;0,IF(INDEX([1]!Product_Pricing_Table[#Data],MATCH(CS$1,Products,0),2)="Cores",IF(HostBuild[Use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7" s="59">
        <f>IFERROR(IF(FIND(CT$1,$W157)&gt;0,IF(INDEX([1]!Product_Pricing_Table[#Data],MATCH(CT$1,Products,0),2)="Cores",IF(HostBuild[Use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7" s="59">
        <f>IFERROR(IF(FIND(CU$1,$W157)&gt;0,IF(INDEX([1]!Product_Pricing_Table[#Data],MATCH(CU$1,Products,0),2)="Cores",IF(HostBuild[Use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7" s="59">
        <f>IFERROR(IF(FIND(CV$1,$W157)&gt;0,IF(INDEX([1]!Product_Pricing_Table[#Data],MATCH(CV$1,Products,0),2)="Cores",IF(HostBuild[Use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7" s="59">
        <f>IFERROR(IF(FIND(CW$1,$W157)&gt;0,IF(INDEX([1]!Product_Pricing_Table[#Data],MATCH(CW$1,Products,0),2)="Cores",IF(HostBuild[Use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7" s="59">
        <f>IFERROR(IF(FIND(CX$1,$W157)&gt;0,IF(INDEX([1]!Product_Pricing_Table[#Data],MATCH(CX$1,Products,0),2)="Cores",IF(HostBuild[Use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7" s="59">
        <f>IFERROR(IF(FIND(CY$1,$W157)&gt;0,IF(INDEX([1]!Product_Pricing_Table[#Data],MATCH(CY$1,Products,0),2)="Cores",IF(HostBuild[Use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7" s="59">
        <f>IFERROR(IF(FIND(CZ$1,$W157)&gt;0,IF(INDEX([1]!Product_Pricing_Table[#Data],MATCH(CZ$1,Products,0),2)="Cores",IF(HostBuild[Use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7" s="59">
        <f>IFERROR(IF(FIND(DA$1,$W157)&gt;0,IF(INDEX([1]!Product_Pricing_Table[#Data],MATCH(DA$1,Products,0),2)="Cores",IF(HostBuild[Use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7" s="59">
        <f>IFERROR(IF(FIND(DB$1,$W157)&gt;0,IF(INDEX([1]!Product_Pricing_Table[#Data],MATCH(DB$1,Products,0),2)="Cores",IF(HostBuild[Use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7" s="59">
        <f>IFERROR(IF(FIND(DC$1,$W157)&gt;0,IF(INDEX([1]!Product_Pricing_Table[#Data],MATCH(DC$1,Products,0),2)="Cores",IF(HostBuild[Use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7" s="59">
        <f>IFERROR(IF(FIND(DD$1,$W157)&gt;0,IF(INDEX([1]!Product_Pricing_Table[#Data],MATCH(DD$1,Products,0),2)="Cores",IF(HostBuild[Use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7" s="59">
        <f>IFERROR(IF(FIND(DE$1,$W157)&gt;0,IF(INDEX([1]!Product_Pricing_Table[#Data],MATCH(DE$1,Products,0),2)="Cores",IF(HostBuild[Use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7" s="60">
        <f>IFERROR(IF(FIND(DF$1,$W157)&gt;0,IF(INDEX([1]!Product_Pricing_Table[#Data],MATCH(DF$1,Products,0),2)="Cores",IF(HostBuild[Use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7" s="60">
        <f>IFERROR(IF(FIND(DG$1,$W157)&gt;0,IF(INDEX([1]!Product_Pricing_Table[#Data],MATCH(DG$1,Products,0),2)="Cores",IF(HostBuild[Use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7" s="59">
        <f>IFERROR(IF(FIND(DH$1,$W157)&gt;0,IF(INDEX([1]!Product_Pricing_Table[#Data],MATCH(DH$1,Products,0),2)="Cores",IF(HostBuild[Use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7" s="60">
        <f>IFERROR(IF(FIND(DI$1,$W157)&gt;0,IF(INDEX([1]!Product_Pricing_Table[#Data],MATCH(DI$1,Products,0),2)="Cores",IF(HostBuild[Use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7" s="59">
        <f>IFERROR(IF(FIND(DJ$1,$W157)&gt;0,IF(INDEX([1]!Product_Pricing_Table[#Data],MATCH(DJ$1,Products,0),2)="Cores",IF(HostBuild[Use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7" s="59">
        <f>IFERROR(IF(FIND(DK$1,$W157)&gt;0,IF(INDEX([1]!Product_Pricing_Table[#Data],MATCH(DK$1,Products,0),2)="Cores",IF(HostBuild[Use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7" s="59">
        <f>IFERROR(IF(FIND(DL$1,$W157)&gt;0,IF(INDEX([1]!Product_Pricing_Table[#Data],MATCH(DL$1,Products,0),2)="Cores",IF(HostBuild[Use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7" s="59">
        <f>IFERROR(IF(FIND(DM$1,$W157)&gt;0,IF(INDEX([1]!Product_Pricing_Table[#Data],MATCH(DM$1,Products,0),2)="Cores",IF(HostBuild[Use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7" s="59">
        <f>IFERROR(IF(FIND(DN$1,$W157)&gt;0,IF(INDEX([1]!Product_Pricing_Table[#Data],MATCH(DN$1,Products,0),2)="Cores",IF(HostBuild[Use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7" s="59">
        <f>IFERROR(IF(FIND(DO$1,$W157)&gt;0,IF(INDEX([1]!Product_Pricing_Table[#Data],MATCH(DO$1,Products,0),2)="Cores",IF(HostBuild[Use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7" s="59">
        <f>IFERROR(IF(FIND(DP$1,$W157)&gt;0,IF(INDEX([1]!Product_Pricing_Table[#Data],MATCH(DP$1,Products,0),2)="Cores",IF(HostBuild[Use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7" s="59">
        <f>IFERROR(IF(FIND(DQ$1,$W157)&gt;0,IF(INDEX([1]!Product_Pricing_Table[#Data],MATCH(DQ$1,Products,0),2)="Cores",IF(HostBuild[Use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7" s="59">
        <f>IFERROR(IF(FIND(DR$1,$W157)&gt;0,IF(INDEX([1]!Product_Pricing_Table[#Data],MATCH(DR$1,Products,0),2)="Cores",IF(HostBuild[Use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7" s="59">
        <f>IFERROR(IF(FIND(DS$1,$W157)&gt;0,IF(INDEX([1]!Product_Pricing_Table[#Data],MATCH(DS$1,Products,0),2)="Cores",IF(HostBuild[Use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7" s="59">
        <f>IFERROR(IF(FIND(DT$1,$W157)&gt;0,IF(INDEX([1]!Product_Pricing_Table[#Data],MATCH(DT$1,Products,0),2)="Cores",IF(HostBuild[Use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7" s="59">
        <f>IFERROR(IF(FIND(DU$1,$W157)&gt;0,IF(INDEX([1]!Product_Pricing_Table[#Data],MATCH(DU$1,Products,0),2)="Cores",IF(HostBuild[Use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7" s="59">
        <f>IFERROR(IF(FIND(DV$1,$W157)&gt;0,IF(INDEX([1]!Product_Pricing_Table[#Data],MATCH(DV$1,Products,0),2)="Cores",IF(HostBuild[Use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7" s="59">
        <f>IFERROR(IF(FIND(DW$1,$W157)&gt;0,IF(INDEX([1]!Product_Pricing_Table[#Data],MATCH(DW$1,Products,0),2)="Cores",IF(HostBuild[Use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7" s="59">
        <f>IFERROR(IF(FIND(DX$1,$W157)&gt;0,IF(INDEX([1]!Product_Pricing_Table[#Data],MATCH(DX$1,Products,0),2)="Cores",IF(HostBuild[Use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7" s="59">
        <f>IFERROR(IF(FIND(DY$1,$W157)&gt;0,IF(INDEX([1]!Product_Pricing_Table[#Data],MATCH(DY$1,Products,0),2)="Cores",IF(HostBuild[Use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7" s="59">
        <f>IFERROR(IF(FIND(DZ$1,$W157)&gt;0,IF(INDEX([1]!Product_Pricing_Table[#Data],MATCH(DZ$1,Products,0),2)="Cores",IF(HostBuild[Use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7" s="59">
        <f>IFERROR(IF(FIND(EA$1,$W157)&gt;0,IF(INDEX([1]!Product_Pricing_Table[#Data],MATCH(EA$1,Products,0),2)="Cores",IF(HostBuild[Use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7" s="59">
        <f>IFERROR(IF(FIND(EB$1,$W157)&gt;0,IF(INDEX([1]!Product_Pricing_Table[#Data],MATCH(EB$1,Products,0),2)="Cores",IF(HostBuild[Use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7" s="60">
        <f>IFERROR(IF(FIND(EC$1,$W157)&gt;0,IF(INDEX([1]!Product_Pricing_Table[#Data],MATCH(EC$1,Products,0),2)="Cores",IF(HostBuild[Use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7" s="59">
        <f>IFERROR(IF(FIND(ED$1,$W157)&gt;0,IF(INDEX([1]!Product_Pricing_Table[#Data],MATCH(ED$1,Products,0),2)="Cores",IF(HostBuild[Use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7" s="59">
        <f>IFERROR(IF(FIND(EE$1,$W157)&gt;0,IF(INDEX([1]!Product_Pricing_Table[#Data],MATCH(EE$1,Products,0),2)="Cores",IF(HostBuild[Use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7" s="59">
        <f>IFERROR(IF(FIND(EF$1,$W157)&gt;0,IF(INDEX([1]!Product_Pricing_Table[#Data],MATCH(EF$1,Products,0),2)="Cores",IF(HostBuild[Use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7" s="59">
        <f>IFERROR(IF(FIND(EG$1,$W157)&gt;0,IF(INDEX([1]!Product_Pricing_Table[#Data],MATCH(EG$1,Products,0),2)="Cores",IF(HostBuild[Use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7" s="59">
        <f>IFERROR(IF(FIND(EH$1,$W157)&gt;0,IF(INDEX([1]!Product_Pricing_Table[#Data],MATCH(EH$1,Products,0),2)="Cores",IF(HostBuild[Use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7" s="59">
        <f>IFERROR(IF(FIND(EI$1,$W157)&gt;0,IF(INDEX([1]!Product_Pricing_Table[#Data],MATCH(EI$1,Products,0),2)="Cores",IF(HostBuild[Use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7" s="59">
        <f>IFERROR(IF(FIND(EJ$1,$W157)&gt;0,IF(INDEX([1]!Product_Pricing_Table[#Data],MATCH(EJ$1,Products,0),2)="Cores",IF(HostBuild[Use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7" s="60">
        <f>IFERROR(IF(FIND(EK$1,$W157)&gt;0,IF(INDEX([1]!Product_Pricing_Table[#Data],MATCH(EK$1,Products,0),2)="Cores",IF(HostBuild[Use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7" s="61"/>
      <c r="EM157" s="62"/>
      <c r="EN157" s="63"/>
      <c r="EO157"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7" s="132">
        <f>(HostBuild[Archive
Full (GB)]+HostBuild[Archive
Incr (GB)])*Storage_DC_Dist_Tape_2014</f>
        <v>0</v>
      </c>
      <c r="ER157" s="132">
        <f>IF(ISNUMBER(HostBuild[Server HW Costs
(Monthly)]),SUM(HostBuild[[#This Row],[Server HW Costs
(Monthly)]:[Tape Costs
(Monthly)]]),0)</f>
        <v>0</v>
      </c>
      <c r="ES157" s="65">
        <f>HostBuild[Software Costs
'[Year 1']
(Monthly)]+HostBuild[Total Hardware Costs
(Monthly)]</f>
        <v>0</v>
      </c>
      <c r="ET157" s="65">
        <f>IFERROR(IF(FIND("Safenet",HostBuild[Server Model]),Safenet_PSE_PL600_Maint,0),0)+IFERROR(IF(FIND("XI52",HostBuild[Server Model]),IBM_DIA_XI52_Maint,0),0)+HostBuild[Software Costs
'[After Year 1']
(Monthly)]+HostBuild[Total Hardware Costs
(Monthly)]</f>
        <v>0</v>
      </c>
      <c r="EU157" s="66">
        <f>SUM(HostBuild[[#This Row],[Server Cost Breakdown]:[Network Cost]])</f>
        <v>0</v>
      </c>
      <c r="EV157" s="67">
        <f>IF(HostBuild[Existing Server?]="Yes - Inside this BoM",0,SUMIF(HostBuild[Alias],HostBuild[Alias],HostBuild[CPU])+SUMIF(HostBuild[Alias],HostBuild[Alias],HostBuild[Existing CPUs]))</f>
        <v>0</v>
      </c>
      <c r="EW157" s="67">
        <f>IF(HostBuild[Existing Server?]="Yes - Inside this BoM",0,SUMIF(HostBuild[Alias],HostBuild[Alias],HostBuild[Cores 
(Licensed Units)])+SUMIF(HostBuild[Alias],HostBuild[Alias],HostBuild[Existing Cores]))</f>
        <v>0</v>
      </c>
      <c r="EX157" s="67">
        <f>IF(HostBuild[Existing Server?]="Yes - Inside this BoM",0,SUMIF(HostBuild[Alias],HostBuild[Alias],HostBuild[RAM 
(GB)])+SUMIF(HostBuild[Alias],HostBuild[Alias],HostBuild[Existing RAM (GB)]))</f>
        <v>0</v>
      </c>
      <c r="EY15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7" s="66">
        <f>IF(ISBLANK(HostBuild[Server Model]),0,IF(HostBuild[Server Tier]="VMware",0,VLOOKUP(HostBuild[Server Tier],[1]!ServerTierRates[#Data],2,0))*HostBuild[CPU]*IF(AND(HostBuild[Server Type]="pSeries",HostBuild[Virtual Platform Storage Type]="Cloud-SAN"),0.25,1))</f>
        <v>0</v>
      </c>
      <c r="FD157" s="66">
        <f>0</f>
        <v>0</v>
      </c>
      <c r="FE157" s="66">
        <f>IF(HostBuild[Server Type]="VMware",HostBuild[RAM 
(GB)]*IF(ISERROR(FIND("DevCloud", HostBuild[Server Model])&gt;0),vRAM_per_vCPU_2014_Monthly,vRAM_per_vCPU_2014_Daily*30),0)</f>
        <v>0</v>
      </c>
      <c r="FF15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7" s="69">
        <f>IF(HostBuild[Server Tier]="VMware",0,IF(LEFT(HostBuild[Existing Server?],3)="Yes",0,IF(OR(HostBuild[Server Type]="Sun",HostBuild[Server Type]="pSeries"),Support_Direct_Server_Sun_per_OS_2014,IF(HostBuild[Server Type]="x86",Support_Direct_Server_x86_Wintel_per_OS_2014,0))))</f>
        <v>0</v>
      </c>
      <c r="FI15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8" spans="1:165" hidden="1">
      <c r="A158" s="122" t="s">
        <v>53</v>
      </c>
      <c r="B158" s="36"/>
      <c r="C158" s="36"/>
      <c r="D158" s="36"/>
      <c r="E158" s="37"/>
      <c r="F158" s="37"/>
      <c r="G158" s="103"/>
      <c r="H158" s="103"/>
      <c r="I158" s="38"/>
      <c r="J158" s="37"/>
      <c r="K158" s="37"/>
      <c r="L158" s="37"/>
      <c r="M158" s="103" t="e">
        <f ca="1">IF(rngIsDate(HostBuild[CTO Acceptance]),"Y","N")</f>
        <v>#NAME?</v>
      </c>
      <c r="N158" s="123" t="s">
        <v>4</v>
      </c>
      <c r="O158" s="39"/>
      <c r="P158" s="39"/>
      <c r="Q158" s="123" t="s">
        <v>0</v>
      </c>
      <c r="R158" s="126" t="str">
        <f>IF(NOT(ISBLANK(HostBuild[Env Label])),IFERROR(VLOOKUP(HostBuild[Env Label],[1]!tEnv[#Data],3,FALSE),""),"")</f>
        <v/>
      </c>
      <c r="S158" s="104"/>
      <c r="T158" s="40"/>
      <c r="U158" s="105"/>
      <c r="V158" s="123" t="s">
        <v>386</v>
      </c>
      <c r="W158" s="123"/>
      <c r="X158" s="123"/>
      <c r="Y158" s="123" t="s">
        <v>58</v>
      </c>
      <c r="Z158" s="126" t="str">
        <f>IF(NOT(ISBLANK(HostBuild[[#This Row],[Product 
(Acronym)]])),CONCATENATE(HostBuild[[#This Row],[Type]],"-",HostBuild[[#This Row],[Product 
(Acronym)]]),"")</f>
        <v>-ESB</v>
      </c>
      <c r="AA158" s="106"/>
      <c r="AB158" s="106" t="s">
        <v>76</v>
      </c>
      <c r="AC158" s="41"/>
      <c r="AD158" s="42"/>
      <c r="AE158" s="42"/>
      <c r="AF158" s="43"/>
      <c r="AG158" s="124"/>
      <c r="AH158" s="107"/>
      <c r="AI158" s="124"/>
      <c r="AJ158" s="123">
        <f>IF(COUNTIF(HostBuild[Alias],HostBuild[Alias]),1/COUNTIF(HostBuild[Alias],HostBuild[Alias]),0)</f>
        <v>0</v>
      </c>
      <c r="AK158" s="124"/>
      <c r="AL158" s="124"/>
      <c r="AM158" s="44"/>
      <c r="AN158" s="45" t="str">
        <f>IF(NOT(ISBLANK(HostBuild[Server Model])),VLOOKUP(HostBuild[Server Model],[1]!ServerModelsTier[#Data],2,FALSE),"")</f>
        <v/>
      </c>
      <c r="AO158" s="45" t="str">
        <f>IF(NOT(ISBLANK(HostBuild[Server Model])),VLOOKUP(HostBuild[Server Model],[1]!ServerModelsTier[#Data],5,FALSE),"")</f>
        <v/>
      </c>
      <c r="AP158" s="44"/>
      <c r="AQ158" s="44"/>
      <c r="AR158" s="46"/>
      <c r="AS158" s="108"/>
      <c r="AT158" s="47"/>
      <c r="AU158" s="109" t="str">
        <f>IF(IFERROR(FIND("P-Series",HostBuild[Server Tier]),0),CEILING((HostBuild[Existing CPUs]+HostBuild[CPU])*16,8),"")</f>
        <v/>
      </c>
      <c r="AV158" s="48"/>
      <c r="AW158" s="124"/>
      <c r="AX158" s="124"/>
      <c r="AY158" s="124"/>
      <c r="AZ158" s="49"/>
      <c r="BA158" s="124"/>
      <c r="BB158" s="124"/>
      <c r="BC158" s="42"/>
      <c r="BD158" s="124"/>
      <c r="BE158" s="124"/>
      <c r="BF158" s="124"/>
      <c r="BG158" s="124"/>
      <c r="BH158" s="124"/>
      <c r="BI158" s="124"/>
      <c r="BJ158" s="124"/>
      <c r="BK158"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58" s="127"/>
      <c r="BM158" s="129">
        <f>IF(ISNUMBER(HostBuild[Recommended SAN (GB)]),HostBuild[Recommended SAN (GB)])+IF(HostBuild[Additional SAN (GB)]&gt;0,CEILING(HostBuild[Additional SAN (GB)],LUN),-(CEILING(-HostBuild[Additional SAN (GB)],LUN)))</f>
        <v>0</v>
      </c>
      <c r="BN158" s="128"/>
      <c r="BO158" s="129">
        <f>HostBuild[SAN (GB)
NEEDED TODAY]+CEILING(HostBuild[SAN (GB)
RESERVED
DO NOT USE TO BUILD], LUN)</f>
        <v>0</v>
      </c>
      <c r="BP158" s="130"/>
      <c r="BQ158" s="131"/>
      <c r="BR158" s="125" t="s">
        <v>76</v>
      </c>
      <c r="BS158" s="110">
        <f>IF(HostBuild[Existing Server?]&lt;&gt;"Yes - Inside this BoM",IF(ISNUMBER(HostBuild[RAM 
(GB)]),IF(HostBuild[Existing RAM (GB)]+HostBuild[RAM 
(GB)]&gt;0,IF(HostBuild[Virtual Platform Storage Type]="NAS",110+HostBuild[Existing RAM (GB)]+HostBuild[RAM 
(GB)]*1.75,0),0),0),0)</f>
        <v>0</v>
      </c>
      <c r="BT158" s="111"/>
      <c r="BU158" s="112">
        <f>IF(ISNUMBER(HostBuild[Recommended NAS (GB)]),HostBuild[Recommended NAS (GB)])+HostBuild[Additional NAS (GB)]</f>
        <v>0</v>
      </c>
      <c r="BV158" s="50"/>
      <c r="BW158" s="50"/>
      <c r="BX158" s="133">
        <f>IFERROR((HostBuild[SAN (GB)
End-State
DO NOT USE TO BUILD]+HostBuild[SAN (GB) Shared])*25%,"")</f>
        <v>0</v>
      </c>
      <c r="BY158" s="113">
        <f>IFERROR(HostBuild[Archive
Full (GB)]*15%,"")</f>
        <v>0</v>
      </c>
      <c r="BZ158" s="51"/>
      <c r="CA158" s="51"/>
      <c r="CB158" s="52"/>
      <c r="CC158" s="53"/>
      <c r="CD158" s="52"/>
      <c r="CE158" s="54"/>
      <c r="CF158" s="128"/>
      <c r="CG158" s="114"/>
      <c r="CH158" s="55"/>
      <c r="CI158" s="56"/>
      <c r="CJ158" s="57"/>
      <c r="CK158" s="58"/>
      <c r="CL158" s="59">
        <f>IFERROR(IF(FIND(CL$1,$W158)&gt;0,IF(INDEX([1]!Product_Pricing_Table[#Data],MATCH(CL$1,Products,0),2)="Cores",IF(HostBuild[Use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8" s="59">
        <f>IFERROR(IF(FIND(CM$1,$W158)&gt;0,IF(INDEX([1]!Product_Pricing_Table[#Data],MATCH(CM$1,Products,0),2)="Cores",IF(HostBuild[Use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8" s="59">
        <f>IFERROR(IF(FIND(CN$1,$W158)&gt;0,IF(INDEX([1]!Product_Pricing_Table[#Data],MATCH(CN$1,Products,0),2)="Cores",IF(HostBuild[Use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8" s="59">
        <f>IFERROR(IF(FIND(CO$1,$W158)&gt;0,IF(INDEX([1]!Product_Pricing_Table[#Data],MATCH(CO$1,Products,0),2)="Cores",IF(HostBuild[Use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8" s="59">
        <f>IFERROR(IF(FIND(CP$1,$W158)&gt;0,IF(INDEX([1]!Product_Pricing_Table[#Data],MATCH(CP$1,Products,0),2)="Cores",IF(HostBuild[Use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8" s="59">
        <f>IFERROR(IF(FIND(CQ$1,$W158)&gt;0,IF(INDEX([1]!Product_Pricing_Table[#Data],MATCH(CQ$1,Products,0),2)="Cores",IF(HostBuild[Use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8" s="59">
        <f>IFERROR(IF(FIND(CR$1,$W158)&gt;0,IF(INDEX([1]!Product_Pricing_Table[#Data],MATCH(CR$1,Products,0),2)="Cores",IF(HostBuild[Use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8" s="59">
        <f>IFERROR(IF(FIND(CS$1,$W158)&gt;0,IF(INDEX([1]!Product_Pricing_Table[#Data],MATCH(CS$1,Products,0),2)="Cores",IF(HostBuild[Use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8" s="59">
        <f>IFERROR(IF(FIND(CT$1,$W158)&gt;0,IF(INDEX([1]!Product_Pricing_Table[#Data],MATCH(CT$1,Products,0),2)="Cores",IF(HostBuild[Use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8" s="59">
        <f>IFERROR(IF(FIND(CU$1,$W158)&gt;0,IF(INDEX([1]!Product_Pricing_Table[#Data],MATCH(CU$1,Products,0),2)="Cores",IF(HostBuild[Use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8" s="59">
        <f>IFERROR(IF(FIND(CV$1,$W158)&gt;0,IF(INDEX([1]!Product_Pricing_Table[#Data],MATCH(CV$1,Products,0),2)="Cores",IF(HostBuild[Use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8" s="59">
        <f>IFERROR(IF(FIND(CW$1,$W158)&gt;0,IF(INDEX([1]!Product_Pricing_Table[#Data],MATCH(CW$1,Products,0),2)="Cores",IF(HostBuild[Use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8" s="59">
        <f>IFERROR(IF(FIND(CX$1,$W158)&gt;0,IF(INDEX([1]!Product_Pricing_Table[#Data],MATCH(CX$1,Products,0),2)="Cores",IF(HostBuild[Use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8" s="59">
        <f>IFERROR(IF(FIND(CY$1,$W158)&gt;0,IF(INDEX([1]!Product_Pricing_Table[#Data],MATCH(CY$1,Products,0),2)="Cores",IF(HostBuild[Use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8" s="59">
        <f>IFERROR(IF(FIND(CZ$1,$W158)&gt;0,IF(INDEX([1]!Product_Pricing_Table[#Data],MATCH(CZ$1,Products,0),2)="Cores",IF(HostBuild[Use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8" s="59">
        <f>IFERROR(IF(FIND(DA$1,$W158)&gt;0,IF(INDEX([1]!Product_Pricing_Table[#Data],MATCH(DA$1,Products,0),2)="Cores",IF(HostBuild[Use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8" s="59">
        <f>IFERROR(IF(FIND(DB$1,$W158)&gt;0,IF(INDEX([1]!Product_Pricing_Table[#Data],MATCH(DB$1,Products,0),2)="Cores",IF(HostBuild[Use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8" s="59">
        <f>IFERROR(IF(FIND(DC$1,$W158)&gt;0,IF(INDEX([1]!Product_Pricing_Table[#Data],MATCH(DC$1,Products,0),2)="Cores",IF(HostBuild[Use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8" s="59">
        <f>IFERROR(IF(FIND(DD$1,$W158)&gt;0,IF(INDEX([1]!Product_Pricing_Table[#Data],MATCH(DD$1,Products,0),2)="Cores",IF(HostBuild[Use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8" s="59">
        <f>IFERROR(IF(FIND(DE$1,$W158)&gt;0,IF(INDEX([1]!Product_Pricing_Table[#Data],MATCH(DE$1,Products,0),2)="Cores",IF(HostBuild[Use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8" s="60">
        <f>IFERROR(IF(FIND(DF$1,$W158)&gt;0,IF(INDEX([1]!Product_Pricing_Table[#Data],MATCH(DF$1,Products,0),2)="Cores",IF(HostBuild[Use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8" s="60">
        <f>IFERROR(IF(FIND(DG$1,$W158)&gt;0,IF(INDEX([1]!Product_Pricing_Table[#Data],MATCH(DG$1,Products,0),2)="Cores",IF(HostBuild[Use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8" s="59">
        <f>IFERROR(IF(FIND(DH$1,$W158)&gt;0,IF(INDEX([1]!Product_Pricing_Table[#Data],MATCH(DH$1,Products,0),2)="Cores",IF(HostBuild[Use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8" s="60">
        <f>IFERROR(IF(FIND(DI$1,$W158)&gt;0,IF(INDEX([1]!Product_Pricing_Table[#Data],MATCH(DI$1,Products,0),2)="Cores",IF(HostBuild[Use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8" s="59">
        <f>IFERROR(IF(FIND(DJ$1,$W158)&gt;0,IF(INDEX([1]!Product_Pricing_Table[#Data],MATCH(DJ$1,Products,0),2)="Cores",IF(HostBuild[Use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8" s="59">
        <f>IFERROR(IF(FIND(DK$1,$W158)&gt;0,IF(INDEX([1]!Product_Pricing_Table[#Data],MATCH(DK$1,Products,0),2)="Cores",IF(HostBuild[Use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8" s="59">
        <f>IFERROR(IF(FIND(DL$1,$W158)&gt;0,IF(INDEX([1]!Product_Pricing_Table[#Data],MATCH(DL$1,Products,0),2)="Cores",IF(HostBuild[Use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8" s="59">
        <f>IFERROR(IF(FIND(DM$1,$W158)&gt;0,IF(INDEX([1]!Product_Pricing_Table[#Data],MATCH(DM$1,Products,0),2)="Cores",IF(HostBuild[Use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8" s="59">
        <f>IFERROR(IF(FIND(DN$1,$W158)&gt;0,IF(INDEX([1]!Product_Pricing_Table[#Data],MATCH(DN$1,Products,0),2)="Cores",IF(HostBuild[Use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8" s="59">
        <f>IFERROR(IF(FIND(DO$1,$W158)&gt;0,IF(INDEX([1]!Product_Pricing_Table[#Data],MATCH(DO$1,Products,0),2)="Cores",IF(HostBuild[Use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8" s="59">
        <f>IFERROR(IF(FIND(DP$1,$W158)&gt;0,IF(INDEX([1]!Product_Pricing_Table[#Data],MATCH(DP$1,Products,0),2)="Cores",IF(HostBuild[Use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8" s="59">
        <f>IFERROR(IF(FIND(DQ$1,$W158)&gt;0,IF(INDEX([1]!Product_Pricing_Table[#Data],MATCH(DQ$1,Products,0),2)="Cores",IF(HostBuild[Use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8" s="59">
        <f>IFERROR(IF(FIND(DR$1,$W158)&gt;0,IF(INDEX([1]!Product_Pricing_Table[#Data],MATCH(DR$1,Products,0),2)="Cores",IF(HostBuild[Use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8" s="59">
        <f>IFERROR(IF(FIND(DS$1,$W158)&gt;0,IF(INDEX([1]!Product_Pricing_Table[#Data],MATCH(DS$1,Products,0),2)="Cores",IF(HostBuild[Use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8" s="59">
        <f>IFERROR(IF(FIND(DT$1,$W158)&gt;0,IF(INDEX([1]!Product_Pricing_Table[#Data],MATCH(DT$1,Products,0),2)="Cores",IF(HostBuild[Use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8" s="59">
        <f>IFERROR(IF(FIND(DU$1,$W158)&gt;0,IF(INDEX([1]!Product_Pricing_Table[#Data],MATCH(DU$1,Products,0),2)="Cores",IF(HostBuild[Use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8" s="59">
        <f>IFERROR(IF(FIND(DV$1,$W158)&gt;0,IF(INDEX([1]!Product_Pricing_Table[#Data],MATCH(DV$1,Products,0),2)="Cores",IF(HostBuild[Use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8" s="59">
        <f>IFERROR(IF(FIND(DW$1,$W158)&gt;0,IF(INDEX([1]!Product_Pricing_Table[#Data],MATCH(DW$1,Products,0),2)="Cores",IF(HostBuild[Use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8" s="59">
        <f>IFERROR(IF(FIND(DX$1,$W158)&gt;0,IF(INDEX([1]!Product_Pricing_Table[#Data],MATCH(DX$1,Products,0),2)="Cores",IF(HostBuild[Use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8" s="59">
        <f>IFERROR(IF(FIND(DY$1,$W158)&gt;0,IF(INDEX([1]!Product_Pricing_Table[#Data],MATCH(DY$1,Products,0),2)="Cores",IF(HostBuild[Use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8" s="59">
        <f>IFERROR(IF(FIND(DZ$1,$W158)&gt;0,IF(INDEX([1]!Product_Pricing_Table[#Data],MATCH(DZ$1,Products,0),2)="Cores",IF(HostBuild[Use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8" s="59">
        <f>IFERROR(IF(FIND(EA$1,$W158)&gt;0,IF(INDEX([1]!Product_Pricing_Table[#Data],MATCH(EA$1,Products,0),2)="Cores",IF(HostBuild[Use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8" s="59">
        <f>IFERROR(IF(FIND(EB$1,$W158)&gt;0,IF(INDEX([1]!Product_Pricing_Table[#Data],MATCH(EB$1,Products,0),2)="Cores",IF(HostBuild[Use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8" s="60">
        <f>IFERROR(IF(FIND(EC$1,$W158)&gt;0,IF(INDEX([1]!Product_Pricing_Table[#Data],MATCH(EC$1,Products,0),2)="Cores",IF(HostBuild[Use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8" s="59">
        <f>IFERROR(IF(FIND(ED$1,$W158)&gt;0,IF(INDEX([1]!Product_Pricing_Table[#Data],MATCH(ED$1,Products,0),2)="Cores",IF(HostBuild[Use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8" s="59">
        <f>IFERROR(IF(FIND(EE$1,$W158)&gt;0,IF(INDEX([1]!Product_Pricing_Table[#Data],MATCH(EE$1,Products,0),2)="Cores",IF(HostBuild[Use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8" s="59">
        <f>IFERROR(IF(FIND(EF$1,$W158)&gt;0,IF(INDEX([1]!Product_Pricing_Table[#Data],MATCH(EF$1,Products,0),2)="Cores",IF(HostBuild[Use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8" s="59">
        <f>IFERROR(IF(FIND(EG$1,$W158)&gt;0,IF(INDEX([1]!Product_Pricing_Table[#Data],MATCH(EG$1,Products,0),2)="Cores",IF(HostBuild[Use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8" s="59">
        <f>IFERROR(IF(FIND(EH$1,$W158)&gt;0,IF(INDEX([1]!Product_Pricing_Table[#Data],MATCH(EH$1,Products,0),2)="Cores",IF(HostBuild[Use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8" s="59">
        <f>IFERROR(IF(FIND(EI$1,$W158)&gt;0,IF(INDEX([1]!Product_Pricing_Table[#Data],MATCH(EI$1,Products,0),2)="Cores",IF(HostBuild[Use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8" s="59">
        <f>IFERROR(IF(FIND(EJ$1,$W158)&gt;0,IF(INDEX([1]!Product_Pricing_Table[#Data],MATCH(EJ$1,Products,0),2)="Cores",IF(HostBuild[Use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8" s="60">
        <f>IFERROR(IF(FIND(EK$1,$W158)&gt;0,IF(INDEX([1]!Product_Pricing_Table[#Data],MATCH(EK$1,Products,0),2)="Cores",IF(HostBuild[Use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8" s="61"/>
      <c r="EM158" s="62"/>
      <c r="EN158" s="63"/>
      <c r="EO158"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8"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8" s="132">
        <f>(HostBuild[Archive
Full (GB)]+HostBuild[Archive
Incr (GB)])*Storage_DC_Dist_Tape_2014</f>
        <v>0</v>
      </c>
      <c r="ER158" s="132">
        <f>IF(ISNUMBER(HostBuild[Server HW Costs
(Monthly)]),SUM(HostBuild[[#This Row],[Server HW Costs
(Monthly)]:[Tape Costs
(Monthly)]]),0)</f>
        <v>0</v>
      </c>
      <c r="ES158" s="65">
        <f>HostBuild[Software Costs
'[Year 1']
(Monthly)]+HostBuild[Total Hardware Costs
(Monthly)]</f>
        <v>0</v>
      </c>
      <c r="ET158" s="65">
        <f>IFERROR(IF(FIND("Safenet",HostBuild[Server Model]),Safenet_PSE_PL600_Maint,0),0)+IFERROR(IF(FIND("XI52",HostBuild[Server Model]),IBM_DIA_XI52_Maint,0),0)+HostBuild[Software Costs
'[After Year 1']
(Monthly)]+HostBuild[Total Hardware Costs
(Monthly)]</f>
        <v>0</v>
      </c>
      <c r="EU158" s="66">
        <f>SUM(HostBuild[[#This Row],[Server Cost Breakdown]:[Network Cost]])</f>
        <v>0</v>
      </c>
      <c r="EV158" s="67">
        <f>IF(HostBuild[Existing Server?]="Yes - Inside this BoM",0,SUMIF(HostBuild[Alias],HostBuild[Alias],HostBuild[CPU])+SUMIF(HostBuild[Alias],HostBuild[Alias],HostBuild[Existing CPUs]))</f>
        <v>0</v>
      </c>
      <c r="EW158" s="67">
        <f>IF(HostBuild[Existing Server?]="Yes - Inside this BoM",0,SUMIF(HostBuild[Alias],HostBuild[Alias],HostBuild[Cores 
(Licensed Units)])+SUMIF(HostBuild[Alias],HostBuild[Alias],HostBuild[Existing Cores]))</f>
        <v>0</v>
      </c>
      <c r="EX158" s="67">
        <f>IF(HostBuild[Existing Server?]="Yes - Inside this BoM",0,SUMIF(HostBuild[Alias],HostBuild[Alias],HostBuild[RAM 
(GB)])+SUMIF(HostBuild[Alias],HostBuild[Alias],HostBuild[Existing RAM (GB)]))</f>
        <v>0</v>
      </c>
      <c r="EY158"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8"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8"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8"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8" s="66">
        <f>IF(ISBLANK(HostBuild[Server Model]),0,IF(HostBuild[Server Tier]="VMware",0,VLOOKUP(HostBuild[Server Tier],[1]!ServerTierRates[#Data],2,0))*HostBuild[CPU]*IF(AND(HostBuild[Server Type]="pSeries",HostBuild[Virtual Platform Storage Type]="Cloud-SAN"),0.25,1))</f>
        <v>0</v>
      </c>
      <c r="FD158" s="66">
        <f>0</f>
        <v>0</v>
      </c>
      <c r="FE158" s="66">
        <f>IF(HostBuild[Server Type]="VMware",HostBuild[RAM 
(GB)]*IF(ISERROR(FIND("DevCloud", HostBuild[Server Model])&gt;0),vRAM_per_vCPU_2014_Monthly,vRAM_per_vCPU_2014_Daily*30),0)</f>
        <v>0</v>
      </c>
      <c r="FF158"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8"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8" s="69">
        <f>IF(HostBuild[Server Tier]="VMware",0,IF(LEFT(HostBuild[Existing Server?],3)="Yes",0,IF(OR(HostBuild[Server Type]="Sun",HostBuild[Server Type]="pSeries"),Support_Direct_Server_Sun_per_OS_2014,IF(HostBuild[Server Type]="x86",Support_Direct_Server_x86_Wintel_per_OS_2014,0))))</f>
        <v>0</v>
      </c>
      <c r="FI158"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59" spans="1:165" hidden="1">
      <c r="A159" s="122" t="s">
        <v>53</v>
      </c>
      <c r="B159" s="36"/>
      <c r="C159" s="36"/>
      <c r="D159" s="36"/>
      <c r="E159" s="37"/>
      <c r="F159" s="37"/>
      <c r="G159" s="103"/>
      <c r="H159" s="103"/>
      <c r="I159" s="38"/>
      <c r="J159" s="37"/>
      <c r="K159" s="37"/>
      <c r="L159" s="37"/>
      <c r="M159" s="103" t="e">
        <f ca="1">IF(rngIsDate(HostBuild[CTO Acceptance]),"Y","N")</f>
        <v>#NAME?</v>
      </c>
      <c r="N159" s="123" t="s">
        <v>4</v>
      </c>
      <c r="O159" s="39"/>
      <c r="P159" s="39"/>
      <c r="Q159" s="123" t="s">
        <v>0</v>
      </c>
      <c r="R159" s="126" t="str">
        <f>IF(NOT(ISBLANK(HostBuild[Env Label])),IFERROR(VLOOKUP(HostBuild[Env Label],[1]!tEnv[#Data],3,FALSE),""),"")</f>
        <v/>
      </c>
      <c r="S159" s="104"/>
      <c r="T159" s="40"/>
      <c r="U159" s="105"/>
      <c r="V159" s="123" t="s">
        <v>386</v>
      </c>
      <c r="W159" s="123"/>
      <c r="X159" s="123"/>
      <c r="Y159" s="123" t="s">
        <v>58</v>
      </c>
      <c r="Z159" s="126" t="str">
        <f>IF(NOT(ISBLANK(HostBuild[[#This Row],[Product 
(Acronym)]])),CONCATENATE(HostBuild[[#This Row],[Type]],"-",HostBuild[[#This Row],[Product 
(Acronym)]]),"")</f>
        <v>-ESB</v>
      </c>
      <c r="AA159" s="106"/>
      <c r="AB159" s="106" t="s">
        <v>76</v>
      </c>
      <c r="AC159" s="41"/>
      <c r="AD159" s="42"/>
      <c r="AE159" s="42"/>
      <c r="AF159" s="43"/>
      <c r="AG159" s="124"/>
      <c r="AH159" s="107"/>
      <c r="AI159" s="124"/>
      <c r="AJ159" s="123">
        <f>IF(COUNTIF(HostBuild[Alias],HostBuild[Alias]),1/COUNTIF(HostBuild[Alias],HostBuild[Alias]),0)</f>
        <v>0</v>
      </c>
      <c r="AK159" s="124"/>
      <c r="AL159" s="124"/>
      <c r="AM159" s="44"/>
      <c r="AN159" s="45" t="str">
        <f>IF(NOT(ISBLANK(HostBuild[Server Model])),VLOOKUP(HostBuild[Server Model],[1]!ServerModelsTier[#Data],2,FALSE),"")</f>
        <v/>
      </c>
      <c r="AO159" s="45" t="str">
        <f>IF(NOT(ISBLANK(HostBuild[Server Model])),VLOOKUP(HostBuild[Server Model],[1]!ServerModelsTier[#Data],5,FALSE),"")</f>
        <v/>
      </c>
      <c r="AP159" s="44"/>
      <c r="AQ159" s="44"/>
      <c r="AR159" s="46"/>
      <c r="AS159" s="108"/>
      <c r="AT159" s="47"/>
      <c r="AU159" s="109" t="str">
        <f>IF(IFERROR(FIND("P-Series",HostBuild[Server Tier]),0),CEILING((HostBuild[Existing CPUs]+HostBuild[CPU])*16,8),"")</f>
        <v/>
      </c>
      <c r="AV159" s="48"/>
      <c r="AW159" s="124"/>
      <c r="AX159" s="124"/>
      <c r="AY159" s="124"/>
      <c r="AZ159" s="49"/>
      <c r="BA159" s="124"/>
      <c r="BB159" s="124"/>
      <c r="BC159" s="42"/>
      <c r="BD159" s="124"/>
      <c r="BE159" s="124"/>
      <c r="BF159" s="124"/>
      <c r="BG159" s="124"/>
      <c r="BH159" s="124"/>
      <c r="BI159" s="124"/>
      <c r="BJ159" s="124"/>
      <c r="BK159"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59" s="127"/>
      <c r="BM159" s="129">
        <f>IF(ISNUMBER(HostBuild[Recommended SAN (GB)]),HostBuild[Recommended SAN (GB)])+IF(HostBuild[Additional SAN (GB)]&gt;0,CEILING(HostBuild[Additional SAN (GB)],LUN),-(CEILING(-HostBuild[Additional SAN (GB)],LUN)))</f>
        <v>0</v>
      </c>
      <c r="BN159" s="128"/>
      <c r="BO159" s="129">
        <f>HostBuild[SAN (GB)
NEEDED TODAY]+CEILING(HostBuild[SAN (GB)
RESERVED
DO NOT USE TO BUILD], LUN)</f>
        <v>0</v>
      </c>
      <c r="BP159" s="130"/>
      <c r="BQ159" s="131"/>
      <c r="BR159" s="125" t="s">
        <v>76</v>
      </c>
      <c r="BS159" s="110">
        <f>IF(HostBuild[Existing Server?]&lt;&gt;"Yes - Inside this BoM",IF(ISNUMBER(HostBuild[RAM 
(GB)]),IF(HostBuild[Existing RAM (GB)]+HostBuild[RAM 
(GB)]&gt;0,IF(HostBuild[Virtual Platform Storage Type]="NAS",110+HostBuild[Existing RAM (GB)]+HostBuild[RAM 
(GB)]*1.75,0),0),0),0)</f>
        <v>0</v>
      </c>
      <c r="BT159" s="111"/>
      <c r="BU159" s="112">
        <f>IF(ISNUMBER(HostBuild[Recommended NAS (GB)]),HostBuild[Recommended NAS (GB)])+HostBuild[Additional NAS (GB)]</f>
        <v>0</v>
      </c>
      <c r="BV159" s="50"/>
      <c r="BW159" s="50"/>
      <c r="BX159" s="133">
        <f>IFERROR((HostBuild[SAN (GB)
End-State
DO NOT USE TO BUILD]+HostBuild[SAN (GB) Shared])*25%,"")</f>
        <v>0</v>
      </c>
      <c r="BY159" s="113">
        <f>IFERROR(HostBuild[Archive
Full (GB)]*15%,"")</f>
        <v>0</v>
      </c>
      <c r="BZ159" s="51"/>
      <c r="CA159" s="51"/>
      <c r="CB159" s="52"/>
      <c r="CC159" s="53"/>
      <c r="CD159" s="52"/>
      <c r="CE159" s="54"/>
      <c r="CF159" s="128"/>
      <c r="CG159" s="114"/>
      <c r="CH159" s="55"/>
      <c r="CI159" s="56"/>
      <c r="CJ159" s="57"/>
      <c r="CK159" s="58"/>
      <c r="CL159" s="59">
        <f>IFERROR(IF(FIND(CL$1,$W159)&gt;0,IF(INDEX([1]!Product_Pricing_Table[#Data],MATCH(CL$1,Products,0),2)="Cores",IF(HostBuild[Use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59" s="59">
        <f>IFERROR(IF(FIND(CM$1,$W159)&gt;0,IF(INDEX([1]!Product_Pricing_Table[#Data],MATCH(CM$1,Products,0),2)="Cores",IF(HostBuild[Use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59" s="59">
        <f>IFERROR(IF(FIND(CN$1,$W159)&gt;0,IF(INDEX([1]!Product_Pricing_Table[#Data],MATCH(CN$1,Products,0),2)="Cores",IF(HostBuild[Use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59" s="59">
        <f>IFERROR(IF(FIND(CO$1,$W159)&gt;0,IF(INDEX([1]!Product_Pricing_Table[#Data],MATCH(CO$1,Products,0),2)="Cores",IF(HostBuild[Use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59" s="59">
        <f>IFERROR(IF(FIND(CP$1,$W159)&gt;0,IF(INDEX([1]!Product_Pricing_Table[#Data],MATCH(CP$1,Products,0),2)="Cores",IF(HostBuild[Use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59" s="59">
        <f>IFERROR(IF(FIND(CQ$1,$W159)&gt;0,IF(INDEX([1]!Product_Pricing_Table[#Data],MATCH(CQ$1,Products,0),2)="Cores",IF(HostBuild[Use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59" s="59">
        <f>IFERROR(IF(FIND(CR$1,$W159)&gt;0,IF(INDEX([1]!Product_Pricing_Table[#Data],MATCH(CR$1,Products,0),2)="Cores",IF(HostBuild[Use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59" s="59">
        <f>IFERROR(IF(FIND(CS$1,$W159)&gt;0,IF(INDEX([1]!Product_Pricing_Table[#Data],MATCH(CS$1,Products,0),2)="Cores",IF(HostBuild[Use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59" s="59">
        <f>IFERROR(IF(FIND(CT$1,$W159)&gt;0,IF(INDEX([1]!Product_Pricing_Table[#Data],MATCH(CT$1,Products,0),2)="Cores",IF(HostBuild[Use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59" s="59">
        <f>IFERROR(IF(FIND(CU$1,$W159)&gt;0,IF(INDEX([1]!Product_Pricing_Table[#Data],MATCH(CU$1,Products,0),2)="Cores",IF(HostBuild[Use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59" s="59">
        <f>IFERROR(IF(FIND(CV$1,$W159)&gt;0,IF(INDEX([1]!Product_Pricing_Table[#Data],MATCH(CV$1,Products,0),2)="Cores",IF(HostBuild[Use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59" s="59">
        <f>IFERROR(IF(FIND(CW$1,$W159)&gt;0,IF(INDEX([1]!Product_Pricing_Table[#Data],MATCH(CW$1,Products,0),2)="Cores",IF(HostBuild[Use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59" s="59">
        <f>IFERROR(IF(FIND(CX$1,$W159)&gt;0,IF(INDEX([1]!Product_Pricing_Table[#Data],MATCH(CX$1,Products,0),2)="Cores",IF(HostBuild[Use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59" s="59">
        <f>IFERROR(IF(FIND(CY$1,$W159)&gt;0,IF(INDEX([1]!Product_Pricing_Table[#Data],MATCH(CY$1,Products,0),2)="Cores",IF(HostBuild[Use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59" s="59">
        <f>IFERROR(IF(FIND(CZ$1,$W159)&gt;0,IF(INDEX([1]!Product_Pricing_Table[#Data],MATCH(CZ$1,Products,0),2)="Cores",IF(HostBuild[Use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59" s="59">
        <f>IFERROR(IF(FIND(DA$1,$W159)&gt;0,IF(INDEX([1]!Product_Pricing_Table[#Data],MATCH(DA$1,Products,0),2)="Cores",IF(HostBuild[Use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59" s="59">
        <f>IFERROR(IF(FIND(DB$1,$W159)&gt;0,IF(INDEX([1]!Product_Pricing_Table[#Data],MATCH(DB$1,Products,0),2)="Cores",IF(HostBuild[Use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59" s="59">
        <f>IFERROR(IF(FIND(DC$1,$W159)&gt;0,IF(INDEX([1]!Product_Pricing_Table[#Data],MATCH(DC$1,Products,0),2)="Cores",IF(HostBuild[Use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59" s="59">
        <f>IFERROR(IF(FIND(DD$1,$W159)&gt;0,IF(INDEX([1]!Product_Pricing_Table[#Data],MATCH(DD$1,Products,0),2)="Cores",IF(HostBuild[Use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59" s="59">
        <f>IFERROR(IF(FIND(DE$1,$W159)&gt;0,IF(INDEX([1]!Product_Pricing_Table[#Data],MATCH(DE$1,Products,0),2)="Cores",IF(HostBuild[Use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59" s="60">
        <f>IFERROR(IF(FIND(DF$1,$W159)&gt;0,IF(INDEX([1]!Product_Pricing_Table[#Data],MATCH(DF$1,Products,0),2)="Cores",IF(HostBuild[Use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59" s="60">
        <f>IFERROR(IF(FIND(DG$1,$W159)&gt;0,IF(INDEX([1]!Product_Pricing_Table[#Data],MATCH(DG$1,Products,0),2)="Cores",IF(HostBuild[Use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59" s="59">
        <f>IFERROR(IF(FIND(DH$1,$W159)&gt;0,IF(INDEX([1]!Product_Pricing_Table[#Data],MATCH(DH$1,Products,0),2)="Cores",IF(HostBuild[Use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59" s="60">
        <f>IFERROR(IF(FIND(DI$1,$W159)&gt;0,IF(INDEX([1]!Product_Pricing_Table[#Data],MATCH(DI$1,Products,0),2)="Cores",IF(HostBuild[Use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59" s="59">
        <f>IFERROR(IF(FIND(DJ$1,$W159)&gt;0,IF(INDEX([1]!Product_Pricing_Table[#Data],MATCH(DJ$1,Products,0),2)="Cores",IF(HostBuild[Use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59" s="59">
        <f>IFERROR(IF(FIND(DK$1,$W159)&gt;0,IF(INDEX([1]!Product_Pricing_Table[#Data],MATCH(DK$1,Products,0),2)="Cores",IF(HostBuild[Use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59" s="59">
        <f>IFERROR(IF(FIND(DL$1,$W159)&gt;0,IF(INDEX([1]!Product_Pricing_Table[#Data],MATCH(DL$1,Products,0),2)="Cores",IF(HostBuild[Use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59" s="59">
        <f>IFERROR(IF(FIND(DM$1,$W159)&gt;0,IF(INDEX([1]!Product_Pricing_Table[#Data],MATCH(DM$1,Products,0),2)="Cores",IF(HostBuild[Use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59" s="59">
        <f>IFERROR(IF(FIND(DN$1,$W159)&gt;0,IF(INDEX([1]!Product_Pricing_Table[#Data],MATCH(DN$1,Products,0),2)="Cores",IF(HostBuild[Use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59" s="59">
        <f>IFERROR(IF(FIND(DO$1,$W159)&gt;0,IF(INDEX([1]!Product_Pricing_Table[#Data],MATCH(DO$1,Products,0),2)="Cores",IF(HostBuild[Use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59" s="59">
        <f>IFERROR(IF(FIND(DP$1,$W159)&gt;0,IF(INDEX([1]!Product_Pricing_Table[#Data],MATCH(DP$1,Products,0),2)="Cores",IF(HostBuild[Use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59" s="59">
        <f>IFERROR(IF(FIND(DQ$1,$W159)&gt;0,IF(INDEX([1]!Product_Pricing_Table[#Data],MATCH(DQ$1,Products,0),2)="Cores",IF(HostBuild[Use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59" s="59">
        <f>IFERROR(IF(FIND(DR$1,$W159)&gt;0,IF(INDEX([1]!Product_Pricing_Table[#Data],MATCH(DR$1,Products,0),2)="Cores",IF(HostBuild[Use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59" s="59">
        <f>IFERROR(IF(FIND(DS$1,$W159)&gt;0,IF(INDEX([1]!Product_Pricing_Table[#Data],MATCH(DS$1,Products,0),2)="Cores",IF(HostBuild[Use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59" s="59">
        <f>IFERROR(IF(FIND(DT$1,$W159)&gt;0,IF(INDEX([1]!Product_Pricing_Table[#Data],MATCH(DT$1,Products,0),2)="Cores",IF(HostBuild[Use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59" s="59">
        <f>IFERROR(IF(FIND(DU$1,$W159)&gt;0,IF(INDEX([1]!Product_Pricing_Table[#Data],MATCH(DU$1,Products,0),2)="Cores",IF(HostBuild[Use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59" s="59">
        <f>IFERROR(IF(FIND(DV$1,$W159)&gt;0,IF(INDEX([1]!Product_Pricing_Table[#Data],MATCH(DV$1,Products,0),2)="Cores",IF(HostBuild[Use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59" s="59">
        <f>IFERROR(IF(FIND(DW$1,$W159)&gt;0,IF(INDEX([1]!Product_Pricing_Table[#Data],MATCH(DW$1,Products,0),2)="Cores",IF(HostBuild[Use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59" s="59">
        <f>IFERROR(IF(FIND(DX$1,$W159)&gt;0,IF(INDEX([1]!Product_Pricing_Table[#Data],MATCH(DX$1,Products,0),2)="Cores",IF(HostBuild[Use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59" s="59">
        <f>IFERROR(IF(FIND(DY$1,$W159)&gt;0,IF(INDEX([1]!Product_Pricing_Table[#Data],MATCH(DY$1,Products,0),2)="Cores",IF(HostBuild[Use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59" s="59">
        <f>IFERROR(IF(FIND(DZ$1,$W159)&gt;0,IF(INDEX([1]!Product_Pricing_Table[#Data],MATCH(DZ$1,Products,0),2)="Cores",IF(HostBuild[Use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59" s="59">
        <f>IFERROR(IF(FIND(EA$1,$W159)&gt;0,IF(INDEX([1]!Product_Pricing_Table[#Data],MATCH(EA$1,Products,0),2)="Cores",IF(HostBuild[Use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59" s="59">
        <f>IFERROR(IF(FIND(EB$1,$W159)&gt;0,IF(INDEX([1]!Product_Pricing_Table[#Data],MATCH(EB$1,Products,0),2)="Cores",IF(HostBuild[Use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59" s="60">
        <f>IFERROR(IF(FIND(EC$1,$W159)&gt;0,IF(INDEX([1]!Product_Pricing_Table[#Data],MATCH(EC$1,Products,0),2)="Cores",IF(HostBuild[Use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59" s="59">
        <f>IFERROR(IF(FIND(ED$1,$W159)&gt;0,IF(INDEX([1]!Product_Pricing_Table[#Data],MATCH(ED$1,Products,0),2)="Cores",IF(HostBuild[Use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59" s="59">
        <f>IFERROR(IF(FIND(EE$1,$W159)&gt;0,IF(INDEX([1]!Product_Pricing_Table[#Data],MATCH(EE$1,Products,0),2)="Cores",IF(HostBuild[Use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59" s="59">
        <f>IFERROR(IF(FIND(EF$1,$W159)&gt;0,IF(INDEX([1]!Product_Pricing_Table[#Data],MATCH(EF$1,Products,0),2)="Cores",IF(HostBuild[Use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59" s="59">
        <f>IFERROR(IF(FIND(EG$1,$W159)&gt;0,IF(INDEX([1]!Product_Pricing_Table[#Data],MATCH(EG$1,Products,0),2)="Cores",IF(HostBuild[Use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59" s="59">
        <f>IFERROR(IF(FIND(EH$1,$W159)&gt;0,IF(INDEX([1]!Product_Pricing_Table[#Data],MATCH(EH$1,Products,0),2)="Cores",IF(HostBuild[Use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59" s="59">
        <f>IFERROR(IF(FIND(EI$1,$W159)&gt;0,IF(INDEX([1]!Product_Pricing_Table[#Data],MATCH(EI$1,Products,0),2)="Cores",IF(HostBuild[Use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59" s="59">
        <f>IFERROR(IF(FIND(EJ$1,$W159)&gt;0,IF(INDEX([1]!Product_Pricing_Table[#Data],MATCH(EJ$1,Products,0),2)="Cores",IF(HostBuild[Use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59" s="60">
        <f>IFERROR(IF(FIND(EK$1,$W159)&gt;0,IF(INDEX([1]!Product_Pricing_Table[#Data],MATCH(EK$1,Products,0),2)="Cores",IF(HostBuild[Use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59" s="61"/>
      <c r="EM159" s="62"/>
      <c r="EN159" s="63"/>
      <c r="EO159"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59"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59" s="132">
        <f>(HostBuild[Archive
Full (GB)]+HostBuild[Archive
Incr (GB)])*Storage_DC_Dist_Tape_2014</f>
        <v>0</v>
      </c>
      <c r="ER159" s="132">
        <f>IF(ISNUMBER(HostBuild[Server HW Costs
(Monthly)]),SUM(HostBuild[[#This Row],[Server HW Costs
(Monthly)]:[Tape Costs
(Monthly)]]),0)</f>
        <v>0</v>
      </c>
      <c r="ES159" s="65">
        <f>HostBuild[Software Costs
'[Year 1']
(Monthly)]+HostBuild[Total Hardware Costs
(Monthly)]</f>
        <v>0</v>
      </c>
      <c r="ET159" s="65">
        <f>IFERROR(IF(FIND("Safenet",HostBuild[Server Model]),Safenet_PSE_PL600_Maint,0),0)+IFERROR(IF(FIND("XI52",HostBuild[Server Model]),IBM_DIA_XI52_Maint,0),0)+HostBuild[Software Costs
'[After Year 1']
(Monthly)]+HostBuild[Total Hardware Costs
(Monthly)]</f>
        <v>0</v>
      </c>
      <c r="EU159" s="66">
        <f>SUM(HostBuild[[#This Row],[Server Cost Breakdown]:[Network Cost]])</f>
        <v>0</v>
      </c>
      <c r="EV159" s="67">
        <f>IF(HostBuild[Existing Server?]="Yes - Inside this BoM",0,SUMIF(HostBuild[Alias],HostBuild[Alias],HostBuild[CPU])+SUMIF(HostBuild[Alias],HostBuild[Alias],HostBuild[Existing CPUs]))</f>
        <v>0</v>
      </c>
      <c r="EW159" s="67">
        <f>IF(HostBuild[Existing Server?]="Yes - Inside this BoM",0,SUMIF(HostBuild[Alias],HostBuild[Alias],HostBuild[Cores 
(Licensed Units)])+SUMIF(HostBuild[Alias],HostBuild[Alias],HostBuild[Existing Cores]))</f>
        <v>0</v>
      </c>
      <c r="EX159" s="67">
        <f>IF(HostBuild[Existing Server?]="Yes - Inside this BoM",0,SUMIF(HostBuild[Alias],HostBuild[Alias],HostBuild[RAM 
(GB)])+SUMIF(HostBuild[Alias],HostBuild[Alias],HostBuild[Existing RAM (GB)]))</f>
        <v>0</v>
      </c>
      <c r="EY159"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59"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59"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59"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59" s="66">
        <f>IF(ISBLANK(HostBuild[Server Model]),0,IF(HostBuild[Server Tier]="VMware",0,VLOOKUP(HostBuild[Server Tier],[1]!ServerTierRates[#Data],2,0))*HostBuild[CPU]*IF(AND(HostBuild[Server Type]="pSeries",HostBuild[Virtual Platform Storage Type]="Cloud-SAN"),0.25,1))</f>
        <v>0</v>
      </c>
      <c r="FD159" s="66">
        <f>0</f>
        <v>0</v>
      </c>
      <c r="FE159" s="66">
        <f>IF(HostBuild[Server Type]="VMware",HostBuild[RAM 
(GB)]*IF(ISERROR(FIND("DevCloud", HostBuild[Server Model])&gt;0),vRAM_per_vCPU_2014_Monthly,vRAM_per_vCPU_2014_Daily*30),0)</f>
        <v>0</v>
      </c>
      <c r="FF159"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59"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59" s="69">
        <f>IF(HostBuild[Server Tier]="VMware",0,IF(LEFT(HostBuild[Existing Server?],3)="Yes",0,IF(OR(HostBuild[Server Type]="Sun",HostBuild[Server Type]="pSeries"),Support_Direct_Server_Sun_per_OS_2014,IF(HostBuild[Server Type]="x86",Support_Direct_Server_x86_Wintel_per_OS_2014,0))))</f>
        <v>0</v>
      </c>
      <c r="FI159"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0" spans="1:165" hidden="1">
      <c r="A160" s="122" t="s">
        <v>53</v>
      </c>
      <c r="B160" s="36"/>
      <c r="C160" s="36"/>
      <c r="D160" s="36"/>
      <c r="E160" s="37"/>
      <c r="F160" s="37"/>
      <c r="G160" s="103"/>
      <c r="H160" s="103"/>
      <c r="I160" s="38"/>
      <c r="J160" s="37"/>
      <c r="K160" s="37"/>
      <c r="L160" s="37"/>
      <c r="M160" s="103" t="e">
        <f ca="1">IF(rngIsDate(HostBuild[CTO Acceptance]),"Y","N")</f>
        <v>#NAME?</v>
      </c>
      <c r="N160" s="123" t="s">
        <v>3</v>
      </c>
      <c r="O160" s="39"/>
      <c r="P160" s="39"/>
      <c r="Q160" s="123" t="s">
        <v>1</v>
      </c>
      <c r="R160" s="126" t="str">
        <f>IF(NOT(ISBLANK(HostBuild[Env Label])),IFERROR(VLOOKUP(HostBuild[Env Label],[1]!tEnv[#Data],3,FALSE),""),"")</f>
        <v/>
      </c>
      <c r="S160" s="104"/>
      <c r="T160" s="40"/>
      <c r="U160" s="105"/>
      <c r="V160" s="123" t="s">
        <v>386</v>
      </c>
      <c r="W160" s="123"/>
      <c r="X160" s="123"/>
      <c r="Y160" s="123" t="s">
        <v>58</v>
      </c>
      <c r="Z160" s="126" t="str">
        <f>IF(NOT(ISBLANK(HostBuild[[#This Row],[Product 
(Acronym)]])),CONCATENATE(HostBuild[[#This Row],[Type]],"-",HostBuild[[#This Row],[Product 
(Acronym)]]),"")</f>
        <v>-ESB</v>
      </c>
      <c r="AA160" s="106"/>
      <c r="AB160" s="106" t="s">
        <v>76</v>
      </c>
      <c r="AC160" s="41"/>
      <c r="AD160" s="42"/>
      <c r="AE160" s="42"/>
      <c r="AF160" s="43"/>
      <c r="AG160" s="124"/>
      <c r="AH160" s="107"/>
      <c r="AI160" s="124"/>
      <c r="AJ160" s="123">
        <f>IF(COUNTIF(HostBuild[Alias],HostBuild[Alias]),1/COUNTIF(HostBuild[Alias],HostBuild[Alias]),0)</f>
        <v>0</v>
      </c>
      <c r="AK160" s="124"/>
      <c r="AL160" s="124"/>
      <c r="AM160" s="44"/>
      <c r="AN160" s="45" t="str">
        <f>IF(NOT(ISBLANK(HostBuild[Server Model])),VLOOKUP(HostBuild[Server Model],[1]!ServerModelsTier[#Data],2,FALSE),"")</f>
        <v/>
      </c>
      <c r="AO160" s="45" t="str">
        <f>IF(NOT(ISBLANK(HostBuild[Server Model])),VLOOKUP(HostBuild[Server Model],[1]!ServerModelsTier[#Data],5,FALSE),"")</f>
        <v/>
      </c>
      <c r="AP160" s="44"/>
      <c r="AQ160" s="44"/>
      <c r="AR160" s="46"/>
      <c r="AS160" s="108"/>
      <c r="AT160" s="47"/>
      <c r="AU160" s="109" t="str">
        <f>IF(IFERROR(FIND("P-Series",HostBuild[Server Tier]),0),CEILING((HostBuild[Existing CPUs]+HostBuild[CPU])*16,8),"")</f>
        <v/>
      </c>
      <c r="AV160" s="48"/>
      <c r="AW160" s="124"/>
      <c r="AX160" s="124"/>
      <c r="AY160" s="124"/>
      <c r="AZ160" s="49"/>
      <c r="BA160" s="124"/>
      <c r="BB160" s="124"/>
      <c r="BC160" s="42"/>
      <c r="BD160" s="124"/>
      <c r="BE160" s="124"/>
      <c r="BF160" s="124"/>
      <c r="BG160" s="124"/>
      <c r="BH160" s="124"/>
      <c r="BI160" s="124"/>
      <c r="BJ160" s="124"/>
      <c r="BK160"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60" s="127"/>
      <c r="BM160" s="129">
        <f>IF(ISNUMBER(HostBuild[Recommended SAN (GB)]),HostBuild[Recommended SAN (GB)])+IF(HostBuild[Additional SAN (GB)]&gt;0,CEILING(HostBuild[Additional SAN (GB)],LUN),-(CEILING(-HostBuild[Additional SAN (GB)],LUN)))</f>
        <v>0</v>
      </c>
      <c r="BN160" s="128"/>
      <c r="BO160" s="129">
        <f>HostBuild[SAN (GB)
NEEDED TODAY]+CEILING(HostBuild[SAN (GB)
RESERVED
DO NOT USE TO BUILD], LUN)</f>
        <v>0</v>
      </c>
      <c r="BP160" s="130"/>
      <c r="BQ160" s="131"/>
      <c r="BR160" s="125" t="s">
        <v>76</v>
      </c>
      <c r="BS160" s="110">
        <f>IF(HostBuild[Existing Server?]&lt;&gt;"Yes - Inside this BoM",IF(ISNUMBER(HostBuild[RAM 
(GB)]),IF(HostBuild[Existing RAM (GB)]+HostBuild[RAM 
(GB)]&gt;0,IF(HostBuild[Virtual Platform Storage Type]="NAS",110+HostBuild[Existing RAM (GB)]+HostBuild[RAM 
(GB)]*1.75,0),0),0),0)</f>
        <v>0</v>
      </c>
      <c r="BT160" s="111"/>
      <c r="BU160" s="112">
        <f>IF(ISNUMBER(HostBuild[Recommended NAS (GB)]),HostBuild[Recommended NAS (GB)])+HostBuild[Additional NAS (GB)]</f>
        <v>0</v>
      </c>
      <c r="BV160" s="50"/>
      <c r="BW160" s="50"/>
      <c r="BX160" s="133">
        <f>IFERROR((HostBuild[SAN (GB)
End-State
DO NOT USE TO BUILD]+HostBuild[SAN (GB) Shared])*25%,"")</f>
        <v>0</v>
      </c>
      <c r="BY160" s="113">
        <f>IFERROR(HostBuild[Archive
Full (GB)]*15%,"")</f>
        <v>0</v>
      </c>
      <c r="BZ160" s="51"/>
      <c r="CA160" s="51"/>
      <c r="CB160" s="52"/>
      <c r="CC160" s="53"/>
      <c r="CD160" s="52"/>
      <c r="CE160" s="54"/>
      <c r="CF160" s="128"/>
      <c r="CG160" s="114"/>
      <c r="CH160" s="55"/>
      <c r="CI160" s="56"/>
      <c r="CJ160" s="57"/>
      <c r="CK160" s="58"/>
      <c r="CL160" s="59">
        <f>IFERROR(IF(FIND(CL$1,$W160)&gt;0,IF(INDEX([1]!Product_Pricing_Table[#Data],MATCH(CL$1,Products,0),2)="Cores",IF(HostBuild[Use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0" s="59">
        <f>IFERROR(IF(FIND(CM$1,$W160)&gt;0,IF(INDEX([1]!Product_Pricing_Table[#Data],MATCH(CM$1,Products,0),2)="Cores",IF(HostBuild[Use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0" s="59">
        <f>IFERROR(IF(FIND(CN$1,$W160)&gt;0,IF(INDEX([1]!Product_Pricing_Table[#Data],MATCH(CN$1,Products,0),2)="Cores",IF(HostBuild[Use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0" s="59">
        <f>IFERROR(IF(FIND(CO$1,$W160)&gt;0,IF(INDEX([1]!Product_Pricing_Table[#Data],MATCH(CO$1,Products,0),2)="Cores",IF(HostBuild[Use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0" s="59">
        <f>IFERROR(IF(FIND(CP$1,$W160)&gt;0,IF(INDEX([1]!Product_Pricing_Table[#Data],MATCH(CP$1,Products,0),2)="Cores",IF(HostBuild[Use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0" s="59">
        <f>IFERROR(IF(FIND(CQ$1,$W160)&gt;0,IF(INDEX([1]!Product_Pricing_Table[#Data],MATCH(CQ$1,Products,0),2)="Cores",IF(HostBuild[Use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0" s="59">
        <f>IFERROR(IF(FIND(CR$1,$W160)&gt;0,IF(INDEX([1]!Product_Pricing_Table[#Data],MATCH(CR$1,Products,0),2)="Cores",IF(HostBuild[Use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0" s="59">
        <f>IFERROR(IF(FIND(CS$1,$W160)&gt;0,IF(INDEX([1]!Product_Pricing_Table[#Data],MATCH(CS$1,Products,0),2)="Cores",IF(HostBuild[Use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0" s="59">
        <f>IFERROR(IF(FIND(CT$1,$W160)&gt;0,IF(INDEX([1]!Product_Pricing_Table[#Data],MATCH(CT$1,Products,0),2)="Cores",IF(HostBuild[Use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0" s="59">
        <f>IFERROR(IF(FIND(CU$1,$W160)&gt;0,IF(INDEX([1]!Product_Pricing_Table[#Data],MATCH(CU$1,Products,0),2)="Cores",IF(HostBuild[Use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0" s="59">
        <f>IFERROR(IF(FIND(CV$1,$W160)&gt;0,IF(INDEX([1]!Product_Pricing_Table[#Data],MATCH(CV$1,Products,0),2)="Cores",IF(HostBuild[Use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0" s="59">
        <f>IFERROR(IF(FIND(CW$1,$W160)&gt;0,IF(INDEX([1]!Product_Pricing_Table[#Data],MATCH(CW$1,Products,0),2)="Cores",IF(HostBuild[Use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0" s="59">
        <f>IFERROR(IF(FIND(CX$1,$W160)&gt;0,IF(INDEX([1]!Product_Pricing_Table[#Data],MATCH(CX$1,Products,0),2)="Cores",IF(HostBuild[Use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0" s="59">
        <f>IFERROR(IF(FIND(CY$1,$W160)&gt;0,IF(INDEX([1]!Product_Pricing_Table[#Data],MATCH(CY$1,Products,0),2)="Cores",IF(HostBuild[Use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0" s="59">
        <f>IFERROR(IF(FIND(CZ$1,$W160)&gt;0,IF(INDEX([1]!Product_Pricing_Table[#Data],MATCH(CZ$1,Products,0),2)="Cores",IF(HostBuild[Use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0" s="59">
        <f>IFERROR(IF(FIND(DA$1,$W160)&gt;0,IF(INDEX([1]!Product_Pricing_Table[#Data],MATCH(DA$1,Products,0),2)="Cores",IF(HostBuild[Use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0" s="59">
        <f>IFERROR(IF(FIND(DB$1,$W160)&gt;0,IF(INDEX([1]!Product_Pricing_Table[#Data],MATCH(DB$1,Products,0),2)="Cores",IF(HostBuild[Use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0" s="59">
        <f>IFERROR(IF(FIND(DC$1,$W160)&gt;0,IF(INDEX([1]!Product_Pricing_Table[#Data],MATCH(DC$1,Products,0),2)="Cores",IF(HostBuild[Use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0" s="59">
        <f>IFERROR(IF(FIND(DD$1,$W160)&gt;0,IF(INDEX([1]!Product_Pricing_Table[#Data],MATCH(DD$1,Products,0),2)="Cores",IF(HostBuild[Use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0" s="59">
        <f>IFERROR(IF(FIND(DE$1,$W160)&gt;0,IF(INDEX([1]!Product_Pricing_Table[#Data],MATCH(DE$1,Products,0),2)="Cores",IF(HostBuild[Use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0" s="60">
        <f>IFERROR(IF(FIND(DF$1,$W160)&gt;0,IF(INDEX([1]!Product_Pricing_Table[#Data],MATCH(DF$1,Products,0),2)="Cores",IF(HostBuild[Use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0" s="60">
        <f>IFERROR(IF(FIND(DG$1,$W160)&gt;0,IF(INDEX([1]!Product_Pricing_Table[#Data],MATCH(DG$1,Products,0),2)="Cores",IF(HostBuild[Use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0" s="59">
        <f>IFERROR(IF(FIND(DH$1,$W160)&gt;0,IF(INDEX([1]!Product_Pricing_Table[#Data],MATCH(DH$1,Products,0),2)="Cores",IF(HostBuild[Use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0" s="60">
        <f>IFERROR(IF(FIND(DI$1,$W160)&gt;0,IF(INDEX([1]!Product_Pricing_Table[#Data],MATCH(DI$1,Products,0),2)="Cores",IF(HostBuild[Use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0" s="59">
        <f>IFERROR(IF(FIND(DJ$1,$W160)&gt;0,IF(INDEX([1]!Product_Pricing_Table[#Data],MATCH(DJ$1,Products,0),2)="Cores",IF(HostBuild[Use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0" s="59">
        <f>IFERROR(IF(FIND(DK$1,$W160)&gt;0,IF(INDEX([1]!Product_Pricing_Table[#Data],MATCH(DK$1,Products,0),2)="Cores",IF(HostBuild[Use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0" s="59">
        <f>IFERROR(IF(FIND(DL$1,$W160)&gt;0,IF(INDEX([1]!Product_Pricing_Table[#Data],MATCH(DL$1,Products,0),2)="Cores",IF(HostBuild[Use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0" s="59">
        <f>IFERROR(IF(FIND(DM$1,$W160)&gt;0,IF(INDEX([1]!Product_Pricing_Table[#Data],MATCH(DM$1,Products,0),2)="Cores",IF(HostBuild[Use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0" s="59">
        <f>IFERROR(IF(FIND(DN$1,$W160)&gt;0,IF(INDEX([1]!Product_Pricing_Table[#Data],MATCH(DN$1,Products,0),2)="Cores",IF(HostBuild[Use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0" s="59">
        <f>IFERROR(IF(FIND(DO$1,$W160)&gt;0,IF(INDEX([1]!Product_Pricing_Table[#Data],MATCH(DO$1,Products,0),2)="Cores",IF(HostBuild[Use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0" s="59">
        <f>IFERROR(IF(FIND(DP$1,$W160)&gt;0,IF(INDEX([1]!Product_Pricing_Table[#Data],MATCH(DP$1,Products,0),2)="Cores",IF(HostBuild[Use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0" s="59">
        <f>IFERROR(IF(FIND(DQ$1,$W160)&gt;0,IF(INDEX([1]!Product_Pricing_Table[#Data],MATCH(DQ$1,Products,0),2)="Cores",IF(HostBuild[Use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0" s="59">
        <f>IFERROR(IF(FIND(DR$1,$W160)&gt;0,IF(INDEX([1]!Product_Pricing_Table[#Data],MATCH(DR$1,Products,0),2)="Cores",IF(HostBuild[Use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0" s="59">
        <f>IFERROR(IF(FIND(DS$1,$W160)&gt;0,IF(INDEX([1]!Product_Pricing_Table[#Data],MATCH(DS$1,Products,0),2)="Cores",IF(HostBuild[Use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0" s="59">
        <f>IFERROR(IF(FIND(DT$1,$W160)&gt;0,IF(INDEX([1]!Product_Pricing_Table[#Data],MATCH(DT$1,Products,0),2)="Cores",IF(HostBuild[Use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0" s="59">
        <f>IFERROR(IF(FIND(DU$1,$W160)&gt;0,IF(INDEX([1]!Product_Pricing_Table[#Data],MATCH(DU$1,Products,0),2)="Cores",IF(HostBuild[Use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0" s="59">
        <f>IFERROR(IF(FIND(DV$1,$W160)&gt;0,IF(INDEX([1]!Product_Pricing_Table[#Data],MATCH(DV$1,Products,0),2)="Cores",IF(HostBuild[Use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0" s="59">
        <f>IFERROR(IF(FIND(DW$1,$W160)&gt;0,IF(INDEX([1]!Product_Pricing_Table[#Data],MATCH(DW$1,Products,0),2)="Cores",IF(HostBuild[Use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0" s="59">
        <f>IFERROR(IF(FIND(DX$1,$W160)&gt;0,IF(INDEX([1]!Product_Pricing_Table[#Data],MATCH(DX$1,Products,0),2)="Cores",IF(HostBuild[Use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0" s="59">
        <f>IFERROR(IF(FIND(DY$1,$W160)&gt;0,IF(INDEX([1]!Product_Pricing_Table[#Data],MATCH(DY$1,Products,0),2)="Cores",IF(HostBuild[Use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0" s="59">
        <f>IFERROR(IF(FIND(DZ$1,$W160)&gt;0,IF(INDEX([1]!Product_Pricing_Table[#Data],MATCH(DZ$1,Products,0),2)="Cores",IF(HostBuild[Use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0" s="59">
        <f>IFERROR(IF(FIND(EA$1,$W160)&gt;0,IF(INDEX([1]!Product_Pricing_Table[#Data],MATCH(EA$1,Products,0),2)="Cores",IF(HostBuild[Use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0" s="59">
        <f>IFERROR(IF(FIND(EB$1,$W160)&gt;0,IF(INDEX([1]!Product_Pricing_Table[#Data],MATCH(EB$1,Products,0),2)="Cores",IF(HostBuild[Use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0" s="60">
        <f>IFERROR(IF(FIND(EC$1,$W160)&gt;0,IF(INDEX([1]!Product_Pricing_Table[#Data],MATCH(EC$1,Products,0),2)="Cores",IF(HostBuild[Use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0" s="59">
        <f>IFERROR(IF(FIND(ED$1,$W160)&gt;0,IF(INDEX([1]!Product_Pricing_Table[#Data],MATCH(ED$1,Products,0),2)="Cores",IF(HostBuild[Use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0" s="59">
        <f>IFERROR(IF(FIND(EE$1,$W160)&gt;0,IF(INDEX([1]!Product_Pricing_Table[#Data],MATCH(EE$1,Products,0),2)="Cores",IF(HostBuild[Use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0" s="59">
        <f>IFERROR(IF(FIND(EF$1,$W160)&gt;0,IF(INDEX([1]!Product_Pricing_Table[#Data],MATCH(EF$1,Products,0),2)="Cores",IF(HostBuild[Use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0" s="59">
        <f>IFERROR(IF(FIND(EG$1,$W160)&gt;0,IF(INDEX([1]!Product_Pricing_Table[#Data],MATCH(EG$1,Products,0),2)="Cores",IF(HostBuild[Use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0" s="59">
        <f>IFERROR(IF(FIND(EH$1,$W160)&gt;0,IF(INDEX([1]!Product_Pricing_Table[#Data],MATCH(EH$1,Products,0),2)="Cores",IF(HostBuild[Use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0" s="59">
        <f>IFERROR(IF(FIND(EI$1,$W160)&gt;0,IF(INDEX([1]!Product_Pricing_Table[#Data],MATCH(EI$1,Products,0),2)="Cores",IF(HostBuild[Use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0" s="59">
        <f>IFERROR(IF(FIND(EJ$1,$W160)&gt;0,IF(INDEX([1]!Product_Pricing_Table[#Data],MATCH(EJ$1,Products,0),2)="Cores",IF(HostBuild[Use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0" s="60">
        <f>IFERROR(IF(FIND(EK$1,$W160)&gt;0,IF(INDEX([1]!Product_Pricing_Table[#Data],MATCH(EK$1,Products,0),2)="Cores",IF(HostBuild[Use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0" s="61"/>
      <c r="EM160" s="62"/>
      <c r="EN160" s="63"/>
      <c r="EO160"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60"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0" s="132">
        <f>(HostBuild[Archive
Full (GB)]+HostBuild[Archive
Incr (GB)])*Storage_DC_Dist_Tape_2014</f>
        <v>0</v>
      </c>
      <c r="ER160" s="132">
        <f>IF(ISNUMBER(HostBuild[Server HW Costs
(Monthly)]),SUM(HostBuild[[#This Row],[Server HW Costs
(Monthly)]:[Tape Costs
(Monthly)]]),0)</f>
        <v>0</v>
      </c>
      <c r="ES160" s="65">
        <f>HostBuild[Software Costs
'[Year 1']
(Monthly)]+HostBuild[Total Hardware Costs
(Monthly)]</f>
        <v>0</v>
      </c>
      <c r="ET160" s="65">
        <f>IFERROR(IF(FIND("Safenet",HostBuild[Server Model]),Safenet_PSE_PL600_Maint,0),0)+IFERROR(IF(FIND("XI52",HostBuild[Server Model]),IBM_DIA_XI52_Maint,0),0)+HostBuild[Software Costs
'[After Year 1']
(Monthly)]+HostBuild[Total Hardware Costs
(Monthly)]</f>
        <v>0</v>
      </c>
      <c r="EU160" s="66">
        <f>SUM(HostBuild[[#This Row],[Server Cost Breakdown]:[Network Cost]])</f>
        <v>0</v>
      </c>
      <c r="EV160" s="67">
        <f>IF(HostBuild[Existing Server?]="Yes - Inside this BoM",0,SUMIF(HostBuild[Alias],HostBuild[Alias],HostBuild[CPU])+SUMIF(HostBuild[Alias],HostBuild[Alias],HostBuild[Existing CPUs]))</f>
        <v>0</v>
      </c>
      <c r="EW160" s="67">
        <f>IF(HostBuild[Existing Server?]="Yes - Inside this BoM",0,SUMIF(HostBuild[Alias],HostBuild[Alias],HostBuild[Cores 
(Licensed Units)])+SUMIF(HostBuild[Alias],HostBuild[Alias],HostBuild[Existing Cores]))</f>
        <v>0</v>
      </c>
      <c r="EX160" s="67">
        <f>IF(HostBuild[Existing Server?]="Yes - Inside this BoM",0,SUMIF(HostBuild[Alias],HostBuild[Alias],HostBuild[RAM 
(GB)])+SUMIF(HostBuild[Alias],HostBuild[Alias],HostBuild[Existing RAM (GB)]))</f>
        <v>0</v>
      </c>
      <c r="EY160"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0"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0"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0"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0" s="66">
        <f>IF(ISBLANK(HostBuild[Server Model]),0,IF(HostBuild[Server Tier]="VMware",0,VLOOKUP(HostBuild[Server Tier],[1]!ServerTierRates[#Data],2,0))*HostBuild[CPU]*IF(AND(HostBuild[Server Type]="pSeries",HostBuild[Virtual Platform Storage Type]="Cloud-SAN"),0.25,1))</f>
        <v>0</v>
      </c>
      <c r="FD160" s="66">
        <f>0</f>
        <v>0</v>
      </c>
      <c r="FE160" s="66">
        <f>IF(HostBuild[Server Type]="VMware",HostBuild[RAM 
(GB)]*IF(ISERROR(FIND("DevCloud", HostBuild[Server Model])&gt;0),vRAM_per_vCPU_2014_Monthly,vRAM_per_vCPU_2014_Daily*30),0)</f>
        <v>0</v>
      </c>
      <c r="FF160"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60"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0" s="69">
        <f>IF(HostBuild[Server Tier]="VMware",0,IF(LEFT(HostBuild[Existing Server?],3)="Yes",0,IF(OR(HostBuild[Server Type]="Sun",HostBuild[Server Type]="pSeries"),Support_Direct_Server_Sun_per_OS_2014,IF(HostBuild[Server Type]="x86",Support_Direct_Server_x86_Wintel_per_OS_2014,0))))</f>
        <v>0</v>
      </c>
      <c r="FI160"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1" spans="1:165" hidden="1">
      <c r="A161" s="122" t="s">
        <v>53</v>
      </c>
      <c r="B161" s="36"/>
      <c r="C161" s="36"/>
      <c r="D161" s="36"/>
      <c r="E161" s="37"/>
      <c r="F161" s="37"/>
      <c r="G161" s="103"/>
      <c r="H161" s="103"/>
      <c r="I161" s="38"/>
      <c r="J161" s="37"/>
      <c r="K161" s="37"/>
      <c r="L161" s="37"/>
      <c r="M161" s="103" t="e">
        <f ca="1">IF(rngIsDate(HostBuild[CTO Acceptance]),"Y","N")</f>
        <v>#NAME?</v>
      </c>
      <c r="N161" s="123" t="s">
        <v>3</v>
      </c>
      <c r="O161" s="39"/>
      <c r="P161" s="39"/>
      <c r="Q161" s="123" t="s">
        <v>1</v>
      </c>
      <c r="R161" s="126" t="str">
        <f>IF(NOT(ISBLANK(HostBuild[Env Label])),IFERROR(VLOOKUP(HostBuild[Env Label],[1]!tEnv[#Data],3,FALSE),""),"")</f>
        <v/>
      </c>
      <c r="S161" s="104"/>
      <c r="T161" s="40"/>
      <c r="U161" s="105"/>
      <c r="V161" s="123" t="s">
        <v>386</v>
      </c>
      <c r="W161" s="123"/>
      <c r="X161" s="123"/>
      <c r="Y161" s="123" t="s">
        <v>58</v>
      </c>
      <c r="Z161" s="126" t="str">
        <f>IF(NOT(ISBLANK(HostBuild[[#This Row],[Product 
(Acronym)]])),CONCATENATE(HostBuild[[#This Row],[Type]],"-",HostBuild[[#This Row],[Product 
(Acronym)]]),"")</f>
        <v>-ESB</v>
      </c>
      <c r="AA161" s="106"/>
      <c r="AB161" s="106" t="s">
        <v>76</v>
      </c>
      <c r="AC161" s="41"/>
      <c r="AD161" s="42"/>
      <c r="AE161" s="42"/>
      <c r="AF161" s="43"/>
      <c r="AG161" s="124"/>
      <c r="AH161" s="107"/>
      <c r="AI161" s="124"/>
      <c r="AJ161" s="123">
        <f>IF(COUNTIF(HostBuild[Alias],HostBuild[Alias]),1/COUNTIF(HostBuild[Alias],HostBuild[Alias]),0)</f>
        <v>0</v>
      </c>
      <c r="AK161" s="124"/>
      <c r="AL161" s="124"/>
      <c r="AM161" s="44"/>
      <c r="AN161" s="45" t="str">
        <f>IF(NOT(ISBLANK(HostBuild[Server Model])),VLOOKUP(HostBuild[Server Model],[1]!ServerModelsTier[#Data],2,FALSE),"")</f>
        <v/>
      </c>
      <c r="AO161" s="45" t="str">
        <f>IF(NOT(ISBLANK(HostBuild[Server Model])),VLOOKUP(HostBuild[Server Model],[1]!ServerModelsTier[#Data],5,FALSE),"")</f>
        <v/>
      </c>
      <c r="AP161" s="44"/>
      <c r="AQ161" s="44"/>
      <c r="AR161" s="46"/>
      <c r="AS161" s="108"/>
      <c r="AT161" s="47"/>
      <c r="AU161" s="109" t="str">
        <f>IF(IFERROR(FIND("P-Series",HostBuild[Server Tier]),0),CEILING((HostBuild[Existing CPUs]+HostBuild[CPU])*16,8),"")</f>
        <v/>
      </c>
      <c r="AV161" s="48"/>
      <c r="AW161" s="124"/>
      <c r="AX161" s="124"/>
      <c r="AY161" s="124"/>
      <c r="AZ161" s="49"/>
      <c r="BA161" s="124"/>
      <c r="BB161" s="124"/>
      <c r="BC161" s="42"/>
      <c r="BD161" s="124"/>
      <c r="BE161" s="124"/>
      <c r="BF161" s="124"/>
      <c r="BG161" s="124"/>
      <c r="BH161" s="124"/>
      <c r="BI161" s="124"/>
      <c r="BJ161" s="124"/>
      <c r="BK161"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61" s="127"/>
      <c r="BM161" s="129">
        <f>IF(ISNUMBER(HostBuild[Recommended SAN (GB)]),HostBuild[Recommended SAN (GB)])+IF(HostBuild[Additional SAN (GB)]&gt;0,CEILING(HostBuild[Additional SAN (GB)],LUN),-(CEILING(-HostBuild[Additional SAN (GB)],LUN)))</f>
        <v>0</v>
      </c>
      <c r="BN161" s="128"/>
      <c r="BO161" s="129">
        <f>HostBuild[SAN (GB)
NEEDED TODAY]+CEILING(HostBuild[SAN (GB)
RESERVED
DO NOT USE TO BUILD], LUN)</f>
        <v>0</v>
      </c>
      <c r="BP161" s="130"/>
      <c r="BQ161" s="131"/>
      <c r="BR161" s="125" t="s">
        <v>76</v>
      </c>
      <c r="BS161" s="110">
        <f>IF(HostBuild[Existing Server?]&lt;&gt;"Yes - Inside this BoM",IF(ISNUMBER(HostBuild[RAM 
(GB)]),IF(HostBuild[Existing RAM (GB)]+HostBuild[RAM 
(GB)]&gt;0,IF(HostBuild[Virtual Platform Storage Type]="NAS",110+HostBuild[Existing RAM (GB)]+HostBuild[RAM 
(GB)]*1.75,0),0),0),0)</f>
        <v>0</v>
      </c>
      <c r="BT161" s="111"/>
      <c r="BU161" s="112">
        <f>IF(ISNUMBER(HostBuild[Recommended NAS (GB)]),HostBuild[Recommended NAS (GB)])+HostBuild[Additional NAS (GB)]</f>
        <v>0</v>
      </c>
      <c r="BV161" s="50"/>
      <c r="BW161" s="50"/>
      <c r="BX161" s="133">
        <f>IFERROR((HostBuild[SAN (GB)
End-State
DO NOT USE TO BUILD]+HostBuild[SAN (GB) Shared])*25%,"")</f>
        <v>0</v>
      </c>
      <c r="BY161" s="113">
        <f>IFERROR(HostBuild[Archive
Full (GB)]*15%,"")</f>
        <v>0</v>
      </c>
      <c r="BZ161" s="51"/>
      <c r="CA161" s="51"/>
      <c r="CB161" s="52"/>
      <c r="CC161" s="53"/>
      <c r="CD161" s="52"/>
      <c r="CE161" s="54"/>
      <c r="CF161" s="128"/>
      <c r="CG161" s="114"/>
      <c r="CH161" s="55"/>
      <c r="CI161" s="56"/>
      <c r="CJ161" s="57"/>
      <c r="CK161" s="58"/>
      <c r="CL161" s="59">
        <f>IFERROR(IF(FIND(CL$1,$W161)&gt;0,IF(INDEX([1]!Product_Pricing_Table[#Data],MATCH(CL$1,Products,0),2)="Cores",IF(HostBuild[Use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1" s="59">
        <f>IFERROR(IF(FIND(CM$1,$W161)&gt;0,IF(INDEX([1]!Product_Pricing_Table[#Data],MATCH(CM$1,Products,0),2)="Cores",IF(HostBuild[Use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1" s="59">
        <f>IFERROR(IF(FIND(CN$1,$W161)&gt;0,IF(INDEX([1]!Product_Pricing_Table[#Data],MATCH(CN$1,Products,0),2)="Cores",IF(HostBuild[Use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1" s="59">
        <f>IFERROR(IF(FIND(CO$1,$W161)&gt;0,IF(INDEX([1]!Product_Pricing_Table[#Data],MATCH(CO$1,Products,0),2)="Cores",IF(HostBuild[Use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1" s="59">
        <f>IFERROR(IF(FIND(CP$1,$W161)&gt;0,IF(INDEX([1]!Product_Pricing_Table[#Data],MATCH(CP$1,Products,0),2)="Cores",IF(HostBuild[Use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1" s="59">
        <f>IFERROR(IF(FIND(CQ$1,$W161)&gt;0,IF(INDEX([1]!Product_Pricing_Table[#Data],MATCH(CQ$1,Products,0),2)="Cores",IF(HostBuild[Use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1" s="59">
        <f>IFERROR(IF(FIND(CR$1,$W161)&gt;0,IF(INDEX([1]!Product_Pricing_Table[#Data],MATCH(CR$1,Products,0),2)="Cores",IF(HostBuild[Use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1" s="59">
        <f>IFERROR(IF(FIND(CS$1,$W161)&gt;0,IF(INDEX([1]!Product_Pricing_Table[#Data],MATCH(CS$1,Products,0),2)="Cores",IF(HostBuild[Use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1" s="59">
        <f>IFERROR(IF(FIND(CT$1,$W161)&gt;0,IF(INDEX([1]!Product_Pricing_Table[#Data],MATCH(CT$1,Products,0),2)="Cores",IF(HostBuild[Use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1" s="59">
        <f>IFERROR(IF(FIND(CU$1,$W161)&gt;0,IF(INDEX([1]!Product_Pricing_Table[#Data],MATCH(CU$1,Products,0),2)="Cores",IF(HostBuild[Use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1" s="59">
        <f>IFERROR(IF(FIND(CV$1,$W161)&gt;0,IF(INDEX([1]!Product_Pricing_Table[#Data],MATCH(CV$1,Products,0),2)="Cores",IF(HostBuild[Use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1" s="59">
        <f>IFERROR(IF(FIND(CW$1,$W161)&gt;0,IF(INDEX([1]!Product_Pricing_Table[#Data],MATCH(CW$1,Products,0),2)="Cores",IF(HostBuild[Use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1" s="59">
        <f>IFERROR(IF(FIND(CX$1,$W161)&gt;0,IF(INDEX([1]!Product_Pricing_Table[#Data],MATCH(CX$1,Products,0),2)="Cores",IF(HostBuild[Use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1" s="59">
        <f>IFERROR(IF(FIND(CY$1,$W161)&gt;0,IF(INDEX([1]!Product_Pricing_Table[#Data],MATCH(CY$1,Products,0),2)="Cores",IF(HostBuild[Use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1" s="59">
        <f>IFERROR(IF(FIND(CZ$1,$W161)&gt;0,IF(INDEX([1]!Product_Pricing_Table[#Data],MATCH(CZ$1,Products,0),2)="Cores",IF(HostBuild[Use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1" s="59">
        <f>IFERROR(IF(FIND(DA$1,$W161)&gt;0,IF(INDEX([1]!Product_Pricing_Table[#Data],MATCH(DA$1,Products,0),2)="Cores",IF(HostBuild[Use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1" s="59">
        <f>IFERROR(IF(FIND(DB$1,$W161)&gt;0,IF(INDEX([1]!Product_Pricing_Table[#Data],MATCH(DB$1,Products,0),2)="Cores",IF(HostBuild[Use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1" s="59">
        <f>IFERROR(IF(FIND(DC$1,$W161)&gt;0,IF(INDEX([1]!Product_Pricing_Table[#Data],MATCH(DC$1,Products,0),2)="Cores",IF(HostBuild[Use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1" s="59">
        <f>IFERROR(IF(FIND(DD$1,$W161)&gt;0,IF(INDEX([1]!Product_Pricing_Table[#Data],MATCH(DD$1,Products,0),2)="Cores",IF(HostBuild[Use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1" s="59">
        <f>IFERROR(IF(FIND(DE$1,$W161)&gt;0,IF(INDEX([1]!Product_Pricing_Table[#Data],MATCH(DE$1,Products,0),2)="Cores",IF(HostBuild[Use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1" s="60">
        <f>IFERROR(IF(FIND(DF$1,$W161)&gt;0,IF(INDEX([1]!Product_Pricing_Table[#Data],MATCH(DF$1,Products,0),2)="Cores",IF(HostBuild[Use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1" s="60">
        <f>IFERROR(IF(FIND(DG$1,$W161)&gt;0,IF(INDEX([1]!Product_Pricing_Table[#Data],MATCH(DG$1,Products,0),2)="Cores",IF(HostBuild[Use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1" s="59">
        <f>IFERROR(IF(FIND(DH$1,$W161)&gt;0,IF(INDEX([1]!Product_Pricing_Table[#Data],MATCH(DH$1,Products,0),2)="Cores",IF(HostBuild[Use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1" s="60">
        <f>IFERROR(IF(FIND(DI$1,$W161)&gt;0,IF(INDEX([1]!Product_Pricing_Table[#Data],MATCH(DI$1,Products,0),2)="Cores",IF(HostBuild[Use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1" s="59">
        <f>IFERROR(IF(FIND(DJ$1,$W161)&gt;0,IF(INDEX([1]!Product_Pricing_Table[#Data],MATCH(DJ$1,Products,0),2)="Cores",IF(HostBuild[Use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1" s="59">
        <f>IFERROR(IF(FIND(DK$1,$W161)&gt;0,IF(INDEX([1]!Product_Pricing_Table[#Data],MATCH(DK$1,Products,0),2)="Cores",IF(HostBuild[Use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1" s="59">
        <f>IFERROR(IF(FIND(DL$1,$W161)&gt;0,IF(INDEX([1]!Product_Pricing_Table[#Data],MATCH(DL$1,Products,0),2)="Cores",IF(HostBuild[Use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1" s="59">
        <f>IFERROR(IF(FIND(DM$1,$W161)&gt;0,IF(INDEX([1]!Product_Pricing_Table[#Data],MATCH(DM$1,Products,0),2)="Cores",IF(HostBuild[Use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1" s="59">
        <f>IFERROR(IF(FIND(DN$1,$W161)&gt;0,IF(INDEX([1]!Product_Pricing_Table[#Data],MATCH(DN$1,Products,0),2)="Cores",IF(HostBuild[Use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1" s="59">
        <f>IFERROR(IF(FIND(DO$1,$W161)&gt;0,IF(INDEX([1]!Product_Pricing_Table[#Data],MATCH(DO$1,Products,0),2)="Cores",IF(HostBuild[Use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1" s="59">
        <f>IFERROR(IF(FIND(DP$1,$W161)&gt;0,IF(INDEX([1]!Product_Pricing_Table[#Data],MATCH(DP$1,Products,0),2)="Cores",IF(HostBuild[Use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1" s="59">
        <f>IFERROR(IF(FIND(DQ$1,$W161)&gt;0,IF(INDEX([1]!Product_Pricing_Table[#Data],MATCH(DQ$1,Products,0),2)="Cores",IF(HostBuild[Use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1" s="59">
        <f>IFERROR(IF(FIND(DR$1,$W161)&gt;0,IF(INDEX([1]!Product_Pricing_Table[#Data],MATCH(DR$1,Products,0),2)="Cores",IF(HostBuild[Use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1" s="59">
        <f>IFERROR(IF(FIND(DS$1,$W161)&gt;0,IF(INDEX([1]!Product_Pricing_Table[#Data],MATCH(DS$1,Products,0),2)="Cores",IF(HostBuild[Use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1" s="59">
        <f>IFERROR(IF(FIND(DT$1,$W161)&gt;0,IF(INDEX([1]!Product_Pricing_Table[#Data],MATCH(DT$1,Products,0),2)="Cores",IF(HostBuild[Use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1" s="59">
        <f>IFERROR(IF(FIND(DU$1,$W161)&gt;0,IF(INDEX([1]!Product_Pricing_Table[#Data],MATCH(DU$1,Products,0),2)="Cores",IF(HostBuild[Use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1" s="59">
        <f>IFERROR(IF(FIND(DV$1,$W161)&gt;0,IF(INDEX([1]!Product_Pricing_Table[#Data],MATCH(DV$1,Products,0),2)="Cores",IF(HostBuild[Use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1" s="59">
        <f>IFERROR(IF(FIND(DW$1,$W161)&gt;0,IF(INDEX([1]!Product_Pricing_Table[#Data],MATCH(DW$1,Products,0),2)="Cores",IF(HostBuild[Use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1" s="59">
        <f>IFERROR(IF(FIND(DX$1,$W161)&gt;0,IF(INDEX([1]!Product_Pricing_Table[#Data],MATCH(DX$1,Products,0),2)="Cores",IF(HostBuild[Use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1" s="59">
        <f>IFERROR(IF(FIND(DY$1,$W161)&gt;0,IF(INDEX([1]!Product_Pricing_Table[#Data],MATCH(DY$1,Products,0),2)="Cores",IF(HostBuild[Use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1" s="59">
        <f>IFERROR(IF(FIND(DZ$1,$W161)&gt;0,IF(INDEX([1]!Product_Pricing_Table[#Data],MATCH(DZ$1,Products,0),2)="Cores",IF(HostBuild[Use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1" s="59">
        <f>IFERROR(IF(FIND(EA$1,$W161)&gt;0,IF(INDEX([1]!Product_Pricing_Table[#Data],MATCH(EA$1,Products,0),2)="Cores",IF(HostBuild[Use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1" s="59">
        <f>IFERROR(IF(FIND(EB$1,$W161)&gt;0,IF(INDEX([1]!Product_Pricing_Table[#Data],MATCH(EB$1,Products,0),2)="Cores",IF(HostBuild[Use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1" s="60">
        <f>IFERROR(IF(FIND(EC$1,$W161)&gt;0,IF(INDEX([1]!Product_Pricing_Table[#Data],MATCH(EC$1,Products,0),2)="Cores",IF(HostBuild[Use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1" s="59">
        <f>IFERROR(IF(FIND(ED$1,$W161)&gt;0,IF(INDEX([1]!Product_Pricing_Table[#Data],MATCH(ED$1,Products,0),2)="Cores",IF(HostBuild[Use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1" s="59">
        <f>IFERROR(IF(FIND(EE$1,$W161)&gt;0,IF(INDEX([1]!Product_Pricing_Table[#Data],MATCH(EE$1,Products,0),2)="Cores",IF(HostBuild[Use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1" s="59">
        <f>IFERROR(IF(FIND(EF$1,$W161)&gt;0,IF(INDEX([1]!Product_Pricing_Table[#Data],MATCH(EF$1,Products,0),2)="Cores",IF(HostBuild[Use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1" s="59">
        <f>IFERROR(IF(FIND(EG$1,$W161)&gt;0,IF(INDEX([1]!Product_Pricing_Table[#Data],MATCH(EG$1,Products,0),2)="Cores",IF(HostBuild[Use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1" s="59">
        <f>IFERROR(IF(FIND(EH$1,$W161)&gt;0,IF(INDEX([1]!Product_Pricing_Table[#Data],MATCH(EH$1,Products,0),2)="Cores",IF(HostBuild[Use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1" s="59">
        <f>IFERROR(IF(FIND(EI$1,$W161)&gt;0,IF(INDEX([1]!Product_Pricing_Table[#Data],MATCH(EI$1,Products,0),2)="Cores",IF(HostBuild[Use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1" s="59">
        <f>IFERROR(IF(FIND(EJ$1,$W161)&gt;0,IF(INDEX([1]!Product_Pricing_Table[#Data],MATCH(EJ$1,Products,0),2)="Cores",IF(HostBuild[Use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1" s="60">
        <f>IFERROR(IF(FIND(EK$1,$W161)&gt;0,IF(INDEX([1]!Product_Pricing_Table[#Data],MATCH(EK$1,Products,0),2)="Cores",IF(HostBuild[Use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1" s="61"/>
      <c r="EM161" s="62"/>
      <c r="EN161" s="63"/>
      <c r="EO161"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61"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1" s="132">
        <f>(HostBuild[Archive
Full (GB)]+HostBuild[Archive
Incr (GB)])*Storage_DC_Dist_Tape_2014</f>
        <v>0</v>
      </c>
      <c r="ER161" s="132">
        <f>IF(ISNUMBER(HostBuild[Server HW Costs
(Monthly)]),SUM(HostBuild[[#This Row],[Server HW Costs
(Monthly)]:[Tape Costs
(Monthly)]]),0)</f>
        <v>0</v>
      </c>
      <c r="ES161" s="65">
        <f>HostBuild[Software Costs
'[Year 1']
(Monthly)]+HostBuild[Total Hardware Costs
(Monthly)]</f>
        <v>0</v>
      </c>
      <c r="ET161" s="65">
        <f>IFERROR(IF(FIND("Safenet",HostBuild[Server Model]),Safenet_PSE_PL600_Maint,0),0)+IFERROR(IF(FIND("XI52",HostBuild[Server Model]),IBM_DIA_XI52_Maint,0),0)+HostBuild[Software Costs
'[After Year 1']
(Monthly)]+HostBuild[Total Hardware Costs
(Monthly)]</f>
        <v>0</v>
      </c>
      <c r="EU161" s="66">
        <f>SUM(HostBuild[[#This Row],[Server Cost Breakdown]:[Network Cost]])</f>
        <v>0</v>
      </c>
      <c r="EV161" s="67">
        <f>IF(HostBuild[Existing Server?]="Yes - Inside this BoM",0,SUMIF(HostBuild[Alias],HostBuild[Alias],HostBuild[CPU])+SUMIF(HostBuild[Alias],HostBuild[Alias],HostBuild[Existing CPUs]))</f>
        <v>0</v>
      </c>
      <c r="EW161" s="67">
        <f>IF(HostBuild[Existing Server?]="Yes - Inside this BoM",0,SUMIF(HostBuild[Alias],HostBuild[Alias],HostBuild[Cores 
(Licensed Units)])+SUMIF(HostBuild[Alias],HostBuild[Alias],HostBuild[Existing Cores]))</f>
        <v>0</v>
      </c>
      <c r="EX161" s="67">
        <f>IF(HostBuild[Existing Server?]="Yes - Inside this BoM",0,SUMIF(HostBuild[Alias],HostBuild[Alias],HostBuild[RAM 
(GB)])+SUMIF(HostBuild[Alias],HostBuild[Alias],HostBuild[Existing RAM (GB)]))</f>
        <v>0</v>
      </c>
      <c r="EY161"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1"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1"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1"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1" s="66">
        <f>IF(ISBLANK(HostBuild[Server Model]),0,IF(HostBuild[Server Tier]="VMware",0,VLOOKUP(HostBuild[Server Tier],[1]!ServerTierRates[#Data],2,0))*HostBuild[CPU]*IF(AND(HostBuild[Server Type]="pSeries",HostBuild[Virtual Platform Storage Type]="Cloud-SAN"),0.25,1))</f>
        <v>0</v>
      </c>
      <c r="FD161" s="66">
        <f>0</f>
        <v>0</v>
      </c>
      <c r="FE161" s="66">
        <f>IF(HostBuild[Server Type]="VMware",HostBuild[RAM 
(GB)]*IF(ISERROR(FIND("DevCloud", HostBuild[Server Model])&gt;0),vRAM_per_vCPU_2014_Monthly,vRAM_per_vCPU_2014_Daily*30),0)</f>
        <v>0</v>
      </c>
      <c r="FF161"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61"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1" s="69">
        <f>IF(HostBuild[Server Tier]="VMware",0,IF(LEFT(HostBuild[Existing Server?],3)="Yes",0,IF(OR(HostBuild[Server Type]="Sun",HostBuild[Server Type]="pSeries"),Support_Direct_Server_Sun_per_OS_2014,IF(HostBuild[Server Type]="x86",Support_Direct_Server_x86_Wintel_per_OS_2014,0))))</f>
        <v>0</v>
      </c>
      <c r="FI161"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2" spans="1:165" hidden="1">
      <c r="A162" s="122"/>
      <c r="B162" s="36"/>
      <c r="C162" s="36"/>
      <c r="D162" s="36"/>
      <c r="E162" s="37"/>
      <c r="F162" s="37"/>
      <c r="G162" s="103"/>
      <c r="H162" s="103"/>
      <c r="I162" s="38"/>
      <c r="J162" s="37"/>
      <c r="K162" s="37"/>
      <c r="L162" s="37"/>
      <c r="M162" s="103" t="e">
        <f ca="1">IF(rngIsDate(HostBuild[CTO Acceptance]),"Y","N")</f>
        <v>#NAME?</v>
      </c>
      <c r="N162" s="123"/>
      <c r="O162" s="39"/>
      <c r="P162" s="39"/>
      <c r="Q162" s="123"/>
      <c r="R162" s="126" t="str">
        <f>IF(NOT(ISBLANK(HostBuild[Env Label])),IFERROR(VLOOKUP(HostBuild[Env Label],[1]!tEnv[#Data],3,FALSE),""),"")</f>
        <v/>
      </c>
      <c r="S162" s="104"/>
      <c r="T162" s="40"/>
      <c r="U162" s="105"/>
      <c r="V162" s="123"/>
      <c r="W162" s="123"/>
      <c r="X162" s="123"/>
      <c r="Y162" s="123"/>
      <c r="Z162" s="126" t="str">
        <f>IF(NOT(ISBLANK(HostBuild[[#This Row],[Product 
(Acronym)]])),CONCATENATE(HostBuild[[#This Row],[Type]],"-",HostBuild[[#This Row],[Product 
(Acronym)]]),"")</f>
        <v/>
      </c>
      <c r="AA162" s="106"/>
      <c r="AB162" s="106"/>
      <c r="AC162" s="41"/>
      <c r="AD162" s="42"/>
      <c r="AE162" s="42"/>
      <c r="AF162" s="43"/>
      <c r="AG162" s="124"/>
      <c r="AH162" s="107"/>
      <c r="AI162" s="124"/>
      <c r="AJ162" s="123">
        <f>IF(COUNTIF(HostBuild[Alias],HostBuild[Alias]),1/COUNTIF(HostBuild[Alias],HostBuild[Alias]),0)</f>
        <v>0</v>
      </c>
      <c r="AK162" s="124"/>
      <c r="AL162" s="124"/>
      <c r="AM162" s="44"/>
      <c r="AN162" s="45" t="str">
        <f>IF(NOT(ISBLANK(HostBuild[Server Model])),VLOOKUP(HostBuild[Server Model],[1]!ServerModelsTier[#Data],2,FALSE),"")</f>
        <v/>
      </c>
      <c r="AO162" s="45" t="str">
        <f>IF(NOT(ISBLANK(HostBuild[Server Model])),VLOOKUP(HostBuild[Server Model],[1]!ServerModelsTier[#Data],5,FALSE),"")</f>
        <v/>
      </c>
      <c r="AP162" s="44"/>
      <c r="AQ162" s="44"/>
      <c r="AR162" s="46"/>
      <c r="AS162" s="108"/>
      <c r="AT162" s="47"/>
      <c r="AU162" s="109" t="str">
        <f>IF(IFERROR(FIND("P-Series",HostBuild[Server Tier]),0),CEILING((HostBuild[Existing CPUs]+HostBuild[CPU])*16,8),"")</f>
        <v/>
      </c>
      <c r="AV162" s="48"/>
      <c r="AW162" s="124"/>
      <c r="AX162" s="124"/>
      <c r="AY162" s="124"/>
      <c r="AZ162" s="49"/>
      <c r="BA162" s="124"/>
      <c r="BB162" s="124"/>
      <c r="BC162" s="42"/>
      <c r="BD162" s="124"/>
      <c r="BE162" s="124"/>
      <c r="BF162" s="124"/>
      <c r="BG162" s="124"/>
      <c r="BH162" s="124"/>
      <c r="BI162" s="124"/>
      <c r="BJ162" s="124"/>
      <c r="BK162"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62" s="127"/>
      <c r="BM162" s="129">
        <f>IF(ISNUMBER(HostBuild[Recommended SAN (GB)]),HostBuild[Recommended SAN (GB)])+IF(HostBuild[Additional SAN (GB)]&gt;0,CEILING(HostBuild[Additional SAN (GB)],LUN),-(CEILING(-HostBuild[Additional SAN (GB)],LUN)))</f>
        <v>0</v>
      </c>
      <c r="BN162" s="128"/>
      <c r="BO162" s="129">
        <f>HostBuild[SAN (GB)
NEEDED TODAY]+CEILING(HostBuild[SAN (GB)
RESERVED
DO NOT USE TO BUILD], LUN)</f>
        <v>0</v>
      </c>
      <c r="BP162" s="130"/>
      <c r="BQ162" s="131"/>
      <c r="BR162" s="125"/>
      <c r="BS162" s="110">
        <f>IF(HostBuild[Existing Server?]&lt;&gt;"Yes - Inside this BoM",IF(ISNUMBER(HostBuild[RAM 
(GB)]),IF(HostBuild[Existing RAM (GB)]+HostBuild[RAM 
(GB)]&gt;0,IF(HostBuild[Virtual Platform Storage Type]="NAS",110+HostBuild[Existing RAM (GB)]+HostBuild[RAM 
(GB)]*1.75,0),0),0),0)</f>
        <v>0</v>
      </c>
      <c r="BT162" s="111"/>
      <c r="BU162" s="112">
        <f>IF(ISNUMBER(HostBuild[Recommended NAS (GB)]),HostBuild[Recommended NAS (GB)])+HostBuild[Additional NAS (GB)]</f>
        <v>0</v>
      </c>
      <c r="BV162" s="50"/>
      <c r="BW162" s="50"/>
      <c r="BX162" s="133">
        <f>IFERROR((HostBuild[SAN (GB)
End-State
DO NOT USE TO BUILD]+HostBuild[SAN (GB) Shared])*25%,"")</f>
        <v>0</v>
      </c>
      <c r="BY162" s="113">
        <f>IFERROR(HostBuild[Archive
Full (GB)]*15%,"")</f>
        <v>0</v>
      </c>
      <c r="BZ162" s="51"/>
      <c r="CA162" s="51"/>
      <c r="CB162" s="52"/>
      <c r="CC162" s="53"/>
      <c r="CD162" s="52"/>
      <c r="CE162" s="54"/>
      <c r="CF162" s="128"/>
      <c r="CG162" s="114"/>
      <c r="CH162" s="55"/>
      <c r="CI162" s="56"/>
      <c r="CJ162" s="57"/>
      <c r="CK162" s="58"/>
      <c r="CL162" s="59">
        <f>IFERROR(IF(FIND(CL$1,$W162)&gt;0,IF(INDEX([1]!Product_Pricing_Table[#Data],MATCH(CL$1,Products,0),2)="Cores",IF(HostBuild[Use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2" s="59">
        <f>IFERROR(IF(FIND(CM$1,$W162)&gt;0,IF(INDEX([1]!Product_Pricing_Table[#Data],MATCH(CM$1,Products,0),2)="Cores",IF(HostBuild[Use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2" s="59">
        <f>IFERROR(IF(FIND(CN$1,$W162)&gt;0,IF(INDEX([1]!Product_Pricing_Table[#Data],MATCH(CN$1,Products,0),2)="Cores",IF(HostBuild[Use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2" s="59">
        <f>IFERROR(IF(FIND(CO$1,$W162)&gt;0,IF(INDEX([1]!Product_Pricing_Table[#Data],MATCH(CO$1,Products,0),2)="Cores",IF(HostBuild[Use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2" s="59">
        <f>IFERROR(IF(FIND(CP$1,$W162)&gt;0,IF(INDEX([1]!Product_Pricing_Table[#Data],MATCH(CP$1,Products,0),2)="Cores",IF(HostBuild[Use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2" s="59">
        <f>IFERROR(IF(FIND(CQ$1,$W162)&gt;0,IF(INDEX([1]!Product_Pricing_Table[#Data],MATCH(CQ$1,Products,0),2)="Cores",IF(HostBuild[Use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2" s="59">
        <f>IFERROR(IF(FIND(CR$1,$W162)&gt;0,IF(INDEX([1]!Product_Pricing_Table[#Data],MATCH(CR$1,Products,0),2)="Cores",IF(HostBuild[Use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2" s="59">
        <f>IFERROR(IF(FIND(CS$1,$W162)&gt;0,IF(INDEX([1]!Product_Pricing_Table[#Data],MATCH(CS$1,Products,0),2)="Cores",IF(HostBuild[Use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2" s="59">
        <f>IFERROR(IF(FIND(CT$1,$W162)&gt;0,IF(INDEX([1]!Product_Pricing_Table[#Data],MATCH(CT$1,Products,0),2)="Cores",IF(HostBuild[Use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2" s="59">
        <f>IFERROR(IF(FIND(CU$1,$W162)&gt;0,IF(INDEX([1]!Product_Pricing_Table[#Data],MATCH(CU$1,Products,0),2)="Cores",IF(HostBuild[Use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2" s="59">
        <f>IFERROR(IF(FIND(CV$1,$W162)&gt;0,IF(INDEX([1]!Product_Pricing_Table[#Data],MATCH(CV$1,Products,0),2)="Cores",IF(HostBuild[Use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2" s="59">
        <f>IFERROR(IF(FIND(CW$1,$W162)&gt;0,IF(INDEX([1]!Product_Pricing_Table[#Data],MATCH(CW$1,Products,0),2)="Cores",IF(HostBuild[Use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2" s="59">
        <f>IFERROR(IF(FIND(CX$1,$W162)&gt;0,IF(INDEX([1]!Product_Pricing_Table[#Data],MATCH(CX$1,Products,0),2)="Cores",IF(HostBuild[Use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2" s="59">
        <f>IFERROR(IF(FIND(CY$1,$W162)&gt;0,IF(INDEX([1]!Product_Pricing_Table[#Data],MATCH(CY$1,Products,0),2)="Cores",IF(HostBuild[Use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2" s="59">
        <f>IFERROR(IF(FIND(CZ$1,$W162)&gt;0,IF(INDEX([1]!Product_Pricing_Table[#Data],MATCH(CZ$1,Products,0),2)="Cores",IF(HostBuild[Use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2" s="59">
        <f>IFERROR(IF(FIND(DA$1,$W162)&gt;0,IF(INDEX([1]!Product_Pricing_Table[#Data],MATCH(DA$1,Products,0),2)="Cores",IF(HostBuild[Use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2" s="59">
        <f>IFERROR(IF(FIND(DB$1,$W162)&gt;0,IF(INDEX([1]!Product_Pricing_Table[#Data],MATCH(DB$1,Products,0),2)="Cores",IF(HostBuild[Use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2" s="59">
        <f>IFERROR(IF(FIND(DC$1,$W162)&gt;0,IF(INDEX([1]!Product_Pricing_Table[#Data],MATCH(DC$1,Products,0),2)="Cores",IF(HostBuild[Use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2" s="59">
        <f>IFERROR(IF(FIND(DD$1,$W162)&gt;0,IF(INDEX([1]!Product_Pricing_Table[#Data],MATCH(DD$1,Products,0),2)="Cores",IF(HostBuild[Use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2" s="59">
        <f>IFERROR(IF(FIND(DE$1,$W162)&gt;0,IF(INDEX([1]!Product_Pricing_Table[#Data],MATCH(DE$1,Products,0),2)="Cores",IF(HostBuild[Use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2" s="60">
        <f>IFERROR(IF(FIND(DF$1,$W162)&gt;0,IF(INDEX([1]!Product_Pricing_Table[#Data],MATCH(DF$1,Products,0),2)="Cores",IF(HostBuild[Use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2" s="60">
        <f>IFERROR(IF(FIND(DG$1,$W162)&gt;0,IF(INDEX([1]!Product_Pricing_Table[#Data],MATCH(DG$1,Products,0),2)="Cores",IF(HostBuild[Use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2" s="59">
        <f>IFERROR(IF(FIND(DH$1,$W162)&gt;0,IF(INDEX([1]!Product_Pricing_Table[#Data],MATCH(DH$1,Products,0),2)="Cores",IF(HostBuild[Use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2" s="60">
        <f>IFERROR(IF(FIND(DI$1,$W162)&gt;0,IF(INDEX([1]!Product_Pricing_Table[#Data],MATCH(DI$1,Products,0),2)="Cores",IF(HostBuild[Use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2" s="59">
        <f>IFERROR(IF(FIND(DJ$1,$W162)&gt;0,IF(INDEX([1]!Product_Pricing_Table[#Data],MATCH(DJ$1,Products,0),2)="Cores",IF(HostBuild[Use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2" s="59">
        <f>IFERROR(IF(FIND(DK$1,$W162)&gt;0,IF(INDEX([1]!Product_Pricing_Table[#Data],MATCH(DK$1,Products,0),2)="Cores",IF(HostBuild[Use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2" s="59">
        <f>IFERROR(IF(FIND(DL$1,$W162)&gt;0,IF(INDEX([1]!Product_Pricing_Table[#Data],MATCH(DL$1,Products,0),2)="Cores",IF(HostBuild[Use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2" s="59">
        <f>IFERROR(IF(FIND(DM$1,$W162)&gt;0,IF(INDEX([1]!Product_Pricing_Table[#Data],MATCH(DM$1,Products,0),2)="Cores",IF(HostBuild[Use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2" s="59">
        <f>IFERROR(IF(FIND(DN$1,$W162)&gt;0,IF(INDEX([1]!Product_Pricing_Table[#Data],MATCH(DN$1,Products,0),2)="Cores",IF(HostBuild[Use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2" s="59">
        <f>IFERROR(IF(FIND(DO$1,$W162)&gt;0,IF(INDEX([1]!Product_Pricing_Table[#Data],MATCH(DO$1,Products,0),2)="Cores",IF(HostBuild[Use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2" s="59">
        <f>IFERROR(IF(FIND(DP$1,$W162)&gt;0,IF(INDEX([1]!Product_Pricing_Table[#Data],MATCH(DP$1,Products,0),2)="Cores",IF(HostBuild[Use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2" s="59">
        <f>IFERROR(IF(FIND(DQ$1,$W162)&gt;0,IF(INDEX([1]!Product_Pricing_Table[#Data],MATCH(DQ$1,Products,0),2)="Cores",IF(HostBuild[Use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2" s="59">
        <f>IFERROR(IF(FIND(DR$1,$W162)&gt;0,IF(INDEX([1]!Product_Pricing_Table[#Data],MATCH(DR$1,Products,0),2)="Cores",IF(HostBuild[Use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2" s="59">
        <f>IFERROR(IF(FIND(DS$1,$W162)&gt;0,IF(INDEX([1]!Product_Pricing_Table[#Data],MATCH(DS$1,Products,0),2)="Cores",IF(HostBuild[Use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2" s="59">
        <f>IFERROR(IF(FIND(DT$1,$W162)&gt;0,IF(INDEX([1]!Product_Pricing_Table[#Data],MATCH(DT$1,Products,0),2)="Cores",IF(HostBuild[Use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2" s="59">
        <f>IFERROR(IF(FIND(DU$1,$W162)&gt;0,IF(INDEX([1]!Product_Pricing_Table[#Data],MATCH(DU$1,Products,0),2)="Cores",IF(HostBuild[Use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2" s="59">
        <f>IFERROR(IF(FIND(DV$1,$W162)&gt;0,IF(INDEX([1]!Product_Pricing_Table[#Data],MATCH(DV$1,Products,0),2)="Cores",IF(HostBuild[Use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2" s="59">
        <f>IFERROR(IF(FIND(DW$1,$W162)&gt;0,IF(INDEX([1]!Product_Pricing_Table[#Data],MATCH(DW$1,Products,0),2)="Cores",IF(HostBuild[Use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2" s="59">
        <f>IFERROR(IF(FIND(DX$1,$W162)&gt;0,IF(INDEX([1]!Product_Pricing_Table[#Data],MATCH(DX$1,Products,0),2)="Cores",IF(HostBuild[Use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2" s="59">
        <f>IFERROR(IF(FIND(DY$1,$W162)&gt;0,IF(INDEX([1]!Product_Pricing_Table[#Data],MATCH(DY$1,Products,0),2)="Cores",IF(HostBuild[Use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2" s="59">
        <f>IFERROR(IF(FIND(DZ$1,$W162)&gt;0,IF(INDEX([1]!Product_Pricing_Table[#Data],MATCH(DZ$1,Products,0),2)="Cores",IF(HostBuild[Use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2" s="59">
        <f>IFERROR(IF(FIND(EA$1,$W162)&gt;0,IF(INDEX([1]!Product_Pricing_Table[#Data],MATCH(EA$1,Products,0),2)="Cores",IF(HostBuild[Use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2" s="59">
        <f>IFERROR(IF(FIND(EB$1,$W162)&gt;0,IF(INDEX([1]!Product_Pricing_Table[#Data],MATCH(EB$1,Products,0),2)="Cores",IF(HostBuild[Use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2" s="60">
        <f>IFERROR(IF(FIND(EC$1,$W162)&gt;0,IF(INDEX([1]!Product_Pricing_Table[#Data],MATCH(EC$1,Products,0),2)="Cores",IF(HostBuild[Use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2" s="59">
        <f>IFERROR(IF(FIND(ED$1,$W162)&gt;0,IF(INDEX([1]!Product_Pricing_Table[#Data],MATCH(ED$1,Products,0),2)="Cores",IF(HostBuild[Use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2" s="59">
        <f>IFERROR(IF(FIND(EE$1,$W162)&gt;0,IF(INDEX([1]!Product_Pricing_Table[#Data],MATCH(EE$1,Products,0),2)="Cores",IF(HostBuild[Use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2" s="59">
        <f>IFERROR(IF(FIND(EF$1,$W162)&gt;0,IF(INDEX([1]!Product_Pricing_Table[#Data],MATCH(EF$1,Products,0),2)="Cores",IF(HostBuild[Use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2" s="59">
        <f>IFERROR(IF(FIND(EG$1,$W162)&gt;0,IF(INDEX([1]!Product_Pricing_Table[#Data],MATCH(EG$1,Products,0),2)="Cores",IF(HostBuild[Use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2" s="59">
        <f>IFERROR(IF(FIND(EH$1,$W162)&gt;0,IF(INDEX([1]!Product_Pricing_Table[#Data],MATCH(EH$1,Products,0),2)="Cores",IF(HostBuild[Use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2" s="59">
        <f>IFERROR(IF(FIND(EI$1,$W162)&gt;0,IF(INDEX([1]!Product_Pricing_Table[#Data],MATCH(EI$1,Products,0),2)="Cores",IF(HostBuild[Use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2" s="59">
        <f>IFERROR(IF(FIND(EJ$1,$W162)&gt;0,IF(INDEX([1]!Product_Pricing_Table[#Data],MATCH(EJ$1,Products,0),2)="Cores",IF(HostBuild[Use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2" s="60">
        <f>IFERROR(IF(FIND(EK$1,$W162)&gt;0,IF(INDEX([1]!Product_Pricing_Table[#Data],MATCH(EK$1,Products,0),2)="Cores",IF(HostBuild[Use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2" s="61"/>
      <c r="EM162" s="62"/>
      <c r="EN162" s="63"/>
      <c r="EO162"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62"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2" s="132">
        <f>(HostBuild[Archive
Full (GB)]+HostBuild[Archive
Incr (GB)])*Storage_DC_Dist_Tape_2014</f>
        <v>0</v>
      </c>
      <c r="ER162" s="132">
        <f>IF(ISNUMBER(HostBuild[Server HW Costs
(Monthly)]),SUM(HostBuild[[#This Row],[Server HW Costs
(Monthly)]:[Tape Costs
(Monthly)]]),0)</f>
        <v>0</v>
      </c>
      <c r="ES162" s="65">
        <f>HostBuild[Software Costs
'[Year 1']
(Monthly)]+HostBuild[Total Hardware Costs
(Monthly)]</f>
        <v>0</v>
      </c>
      <c r="ET162" s="65">
        <f>IFERROR(IF(FIND("Safenet",HostBuild[Server Model]),Safenet_PSE_PL600_Maint,0),0)+IFERROR(IF(FIND("XI52",HostBuild[Server Model]),IBM_DIA_XI52_Maint,0),0)+HostBuild[Software Costs
'[After Year 1']
(Monthly)]+HostBuild[Total Hardware Costs
(Monthly)]</f>
        <v>0</v>
      </c>
      <c r="EU162" s="66">
        <f>SUM(HostBuild[[#This Row],[Server Cost Breakdown]:[Network Cost]])</f>
        <v>0</v>
      </c>
      <c r="EV162" s="67">
        <f>IF(HostBuild[Existing Server?]="Yes - Inside this BoM",0,SUMIF(HostBuild[Alias],HostBuild[Alias],HostBuild[CPU])+SUMIF(HostBuild[Alias],HostBuild[Alias],HostBuild[Existing CPUs]))</f>
        <v>0</v>
      </c>
      <c r="EW162" s="67">
        <f>IF(HostBuild[Existing Server?]="Yes - Inside this BoM",0,SUMIF(HostBuild[Alias],HostBuild[Alias],HostBuild[Cores 
(Licensed Units)])+SUMIF(HostBuild[Alias],HostBuild[Alias],HostBuild[Existing Cores]))</f>
        <v>0</v>
      </c>
      <c r="EX162" s="67">
        <f>IF(HostBuild[Existing Server?]="Yes - Inside this BoM",0,SUMIF(HostBuild[Alias],HostBuild[Alias],HostBuild[RAM 
(GB)])+SUMIF(HostBuild[Alias],HostBuild[Alias],HostBuild[Existing RAM (GB)]))</f>
        <v>0</v>
      </c>
      <c r="EY162"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2"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2"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2"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2" s="66">
        <f>IF(ISBLANK(HostBuild[Server Model]),0,IF(HostBuild[Server Tier]="VMware",0,VLOOKUP(HostBuild[Server Tier],[1]!ServerTierRates[#Data],2,0))*HostBuild[CPU]*IF(AND(HostBuild[Server Type]="pSeries",HostBuild[Virtual Platform Storage Type]="Cloud-SAN"),0.25,1))</f>
        <v>0</v>
      </c>
      <c r="FD162" s="66">
        <f>0</f>
        <v>0</v>
      </c>
      <c r="FE162" s="66">
        <f>IF(HostBuild[Server Type]="VMware",HostBuild[RAM 
(GB)]*IF(ISERROR(FIND("DevCloud", HostBuild[Server Model])&gt;0),vRAM_per_vCPU_2014_Monthly,vRAM_per_vCPU_2014_Daily*30),0)</f>
        <v>0</v>
      </c>
      <c r="FF162"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62"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2" s="69">
        <f>IF(HostBuild[Server Tier]="VMware",0,IF(LEFT(HostBuild[Existing Server?],3)="Yes",0,IF(OR(HostBuild[Server Type]="Sun",HostBuild[Server Type]="pSeries"),Support_Direct_Server_Sun_per_OS_2014,IF(HostBuild[Server Type]="x86",Support_Direct_Server_x86_Wintel_per_OS_2014,0))))</f>
        <v>0</v>
      </c>
      <c r="FI162"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3" spans="1:165" hidden="1">
      <c r="A163" s="122" t="s">
        <v>53</v>
      </c>
      <c r="B163" s="36"/>
      <c r="C163" s="36"/>
      <c r="D163" s="36"/>
      <c r="E163" s="37"/>
      <c r="F163" s="37"/>
      <c r="G163" s="103"/>
      <c r="H163" s="103"/>
      <c r="I163" s="38"/>
      <c r="J163" s="37"/>
      <c r="K163" s="37"/>
      <c r="L163" s="37"/>
      <c r="M163" s="103" t="e">
        <f ca="1">IF(rngIsDate(HostBuild[CTO Acceptance]),"Y","N")</f>
        <v>#NAME?</v>
      </c>
      <c r="N163" s="123" t="s">
        <v>3</v>
      </c>
      <c r="O163" s="39"/>
      <c r="P163" s="39"/>
      <c r="Q163" s="123" t="s">
        <v>52</v>
      </c>
      <c r="R163" s="126" t="str">
        <f>IF(NOT(ISBLANK(HostBuild[Env Label])),IFERROR(VLOOKUP(HostBuild[Env Label],[1]!tEnv[#Data],3,FALSE),""),"")</f>
        <v/>
      </c>
      <c r="S163" s="104"/>
      <c r="T163" s="40"/>
      <c r="U163" s="105"/>
      <c r="V163" s="123" t="s">
        <v>37</v>
      </c>
      <c r="W163" s="123" t="s">
        <v>39</v>
      </c>
      <c r="X163" s="123" t="s">
        <v>57</v>
      </c>
      <c r="Y163" s="123" t="s">
        <v>188</v>
      </c>
      <c r="Z163" s="126" t="str">
        <f>IF(NOT(ISBLANK(HostBuild[[#This Row],[Product 
(Acronym)]])),CONCATENATE(HostBuild[[#This Row],[Type]],"-",HostBuild[[#This Row],[Product 
(Acronym)]]),"")</f>
        <v>AP-CBOL</v>
      </c>
      <c r="AA163" s="106"/>
      <c r="AB163" s="106" t="s">
        <v>76</v>
      </c>
      <c r="AC163" s="41"/>
      <c r="AD163" s="42"/>
      <c r="AE163" s="42"/>
      <c r="AF163" s="43"/>
      <c r="AG163" s="124"/>
      <c r="AH163" s="107"/>
      <c r="AI163" s="124" t="s">
        <v>387</v>
      </c>
      <c r="AJ163" s="123">
        <f>IF(COUNTIF(HostBuild[Alias],HostBuild[Alias]),1/COUNTIF(HostBuild[Alias],HostBuild[Alias]),0)</f>
        <v>1</v>
      </c>
      <c r="AK163" s="124"/>
      <c r="AL163" s="124"/>
      <c r="AM163" s="44" t="s">
        <v>101</v>
      </c>
      <c r="AN163" s="45" t="str">
        <f>IF(NOT(ISBLANK(HostBuild[Server Model])),VLOOKUP(HostBuild[Server Model],[1]!ServerModelsTier[#Data],2,FALSE),"")</f>
        <v>IBM P-Series Tier 2</v>
      </c>
      <c r="AO163" s="45" t="str">
        <f>IF(NOT(ISBLANK(HostBuild[Server Model])),VLOOKUP(HostBuild[Server Model],[1]!ServerModelsTier[#Data],5,FALSE),"")</f>
        <v>pSeries</v>
      </c>
      <c r="AP163" s="44"/>
      <c r="AQ163" s="44" t="s">
        <v>102</v>
      </c>
      <c r="AR163" s="46">
        <v>1</v>
      </c>
      <c r="AS163" s="108"/>
      <c r="AT163" s="47">
        <v>1</v>
      </c>
      <c r="AU163" s="109">
        <f>IF(IFERROR(FIND("P-Series",HostBuild[Server Tier]),0),CEILING((HostBuild[Existing CPUs]+HostBuild[CPU])*16,8),"")</f>
        <v>16</v>
      </c>
      <c r="AV163" s="48">
        <v>48</v>
      </c>
      <c r="AW163" s="124"/>
      <c r="AX163" s="124"/>
      <c r="AY163" s="124"/>
      <c r="AZ163" s="49"/>
      <c r="BA163" s="124"/>
      <c r="BB163" s="124"/>
      <c r="BC163" s="42"/>
      <c r="BD163" s="124"/>
      <c r="BE163" s="124"/>
      <c r="BF163" s="124"/>
      <c r="BG163" s="124"/>
      <c r="BH163" s="124"/>
      <c r="BI163" s="124"/>
      <c r="BJ163" s="124"/>
      <c r="BK163"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63" s="127"/>
      <c r="BM163" s="129">
        <f>IF(ISNUMBER(HostBuild[Recommended SAN (GB)]),HostBuild[Recommended SAN (GB)])+IF(HostBuild[Additional SAN (GB)]&gt;0,CEILING(HostBuild[Additional SAN (GB)],LUN),-(CEILING(-HostBuild[Additional SAN (GB)],LUN)))</f>
        <v>0</v>
      </c>
      <c r="BN163" s="128"/>
      <c r="BO163" s="129">
        <f>HostBuild[SAN (GB)
NEEDED TODAY]+CEILING(HostBuild[SAN (GB)
RESERVED
DO NOT USE TO BUILD], LUN)</f>
        <v>0</v>
      </c>
      <c r="BP163" s="130"/>
      <c r="BQ163" s="131"/>
      <c r="BR163" s="125" t="s">
        <v>64</v>
      </c>
      <c r="BS163" s="110">
        <f>IF(HostBuild[Existing Server?]&lt;&gt;"Yes - Inside this BoM",IF(ISNUMBER(HostBuild[RAM 
(GB)]),IF(HostBuild[Existing RAM (GB)]+HostBuild[RAM 
(GB)]&gt;0,IF(HostBuild[Virtual Platform Storage Type]="NAS",110+HostBuild[Existing RAM (GB)]+HostBuild[RAM 
(GB)]*1.75,0),0),0),0)</f>
        <v>0</v>
      </c>
      <c r="BT163" s="111"/>
      <c r="BU163" s="112">
        <f>IF(ISNUMBER(HostBuild[Recommended NAS (GB)]),HostBuild[Recommended NAS (GB)])+HostBuild[Additional NAS (GB)]</f>
        <v>0</v>
      </c>
      <c r="BV163" s="50"/>
      <c r="BW163" s="50"/>
      <c r="BX163" s="133">
        <f>IFERROR((HostBuild[SAN (GB)
End-State
DO NOT USE TO BUILD]+HostBuild[SAN (GB) Shared])*25%,"")</f>
        <v>0</v>
      </c>
      <c r="BY163" s="113">
        <f>IFERROR(HostBuild[Archive
Full (GB)]*15%,"")</f>
        <v>0</v>
      </c>
      <c r="BZ163" s="51"/>
      <c r="CA163" s="51"/>
      <c r="CB163" s="52"/>
      <c r="CC163" s="53"/>
      <c r="CD163" s="52"/>
      <c r="CE163" s="54"/>
      <c r="CF163" s="128"/>
      <c r="CG163" s="114"/>
      <c r="CH163" s="55"/>
      <c r="CI163" s="56"/>
      <c r="CJ163" s="57"/>
      <c r="CK163" s="58"/>
      <c r="CL163" s="59">
        <f>IFERROR(IF(FIND(CL$1,$W163)&gt;0,IF(INDEX([1]!Product_Pricing_Table[#Data],MATCH(CL$1,Products,0),2)="Cores",IF(HostBuild[Use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3" s="59">
        <f>IFERROR(IF(FIND(CM$1,$W163)&gt;0,IF(INDEX([1]!Product_Pricing_Table[#Data],MATCH(CM$1,Products,0),2)="Cores",IF(HostBuild[Use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3" s="59">
        <f>IFERROR(IF(FIND(CN$1,$W163)&gt;0,IF(INDEX([1]!Product_Pricing_Table[#Data],MATCH(CN$1,Products,0),2)="Cores",IF(HostBuild[Use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3" s="59">
        <f>IFERROR(IF(FIND(CO$1,$W163)&gt;0,IF(INDEX([1]!Product_Pricing_Table[#Data],MATCH(CO$1,Products,0),2)="Cores",IF(HostBuild[Use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3" s="59">
        <f>IFERROR(IF(FIND(CP$1,$W163)&gt;0,IF(INDEX([1]!Product_Pricing_Table[#Data],MATCH(CP$1,Products,0),2)="Cores",IF(HostBuild[Use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3" s="59">
        <f>IFERROR(IF(FIND(CQ$1,$W163)&gt;0,IF(INDEX([1]!Product_Pricing_Table[#Data],MATCH(CQ$1,Products,0),2)="Cores",IF(HostBuild[Use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3" s="59">
        <f>IFERROR(IF(FIND(CR$1,$W163)&gt;0,IF(INDEX([1]!Product_Pricing_Table[#Data],MATCH(CR$1,Products,0),2)="Cores",IF(HostBuild[Use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3" s="59">
        <f>IFERROR(IF(FIND(CS$1,$W163)&gt;0,IF(INDEX([1]!Product_Pricing_Table[#Data],MATCH(CS$1,Products,0),2)="Cores",IF(HostBuild[Use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3" s="59">
        <f>IFERROR(IF(FIND(CT$1,$W163)&gt;0,IF(INDEX([1]!Product_Pricing_Table[#Data],MATCH(CT$1,Products,0),2)="Cores",IF(HostBuild[Use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3" s="59">
        <f>IFERROR(IF(FIND(CU$1,$W163)&gt;0,IF(INDEX([1]!Product_Pricing_Table[#Data],MATCH(CU$1,Products,0),2)="Cores",IF(HostBuild[Use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3" s="59">
        <f>IFERROR(IF(FIND(CV$1,$W163)&gt;0,IF(INDEX([1]!Product_Pricing_Table[#Data],MATCH(CV$1,Products,0),2)="Cores",IF(HostBuild[Use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3" s="59">
        <f>IFERROR(IF(FIND(CW$1,$W163)&gt;0,IF(INDEX([1]!Product_Pricing_Table[#Data],MATCH(CW$1,Products,0),2)="Cores",IF(HostBuild[Use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3" s="59">
        <f>IFERROR(IF(FIND(CX$1,$W163)&gt;0,IF(INDEX([1]!Product_Pricing_Table[#Data],MATCH(CX$1,Products,0),2)="Cores",IF(HostBuild[Use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3" s="59">
        <f>IFERROR(IF(FIND(CY$1,$W163)&gt;0,IF(INDEX([1]!Product_Pricing_Table[#Data],MATCH(CY$1,Products,0),2)="Cores",IF(HostBuild[Use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3" s="59">
        <f>IFERROR(IF(FIND(CZ$1,$W163)&gt;0,IF(INDEX([1]!Product_Pricing_Table[#Data],MATCH(CZ$1,Products,0),2)="Cores",IF(HostBuild[Use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3" s="59">
        <f>IFERROR(IF(FIND(DA$1,$W163)&gt;0,IF(INDEX([1]!Product_Pricing_Table[#Data],MATCH(DA$1,Products,0),2)="Cores",IF(HostBuild[Use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3" s="59">
        <f>IFERROR(IF(FIND(DB$1,$W163)&gt;0,IF(INDEX([1]!Product_Pricing_Table[#Data],MATCH(DB$1,Products,0),2)="Cores",IF(HostBuild[Use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3" s="59">
        <f>IFERROR(IF(FIND(DC$1,$W163)&gt;0,IF(INDEX([1]!Product_Pricing_Table[#Data],MATCH(DC$1,Products,0),2)="Cores",IF(HostBuild[Use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3" s="59">
        <f>IFERROR(IF(FIND(DD$1,$W163)&gt;0,IF(INDEX([1]!Product_Pricing_Table[#Data],MATCH(DD$1,Products,0),2)="Cores",IF(HostBuild[Use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3" s="59">
        <f>IFERROR(IF(FIND(DE$1,$W163)&gt;0,IF(INDEX([1]!Product_Pricing_Table[#Data],MATCH(DE$1,Products,0),2)="Cores",IF(HostBuild[Use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3" s="60">
        <f>IFERROR(IF(FIND(DF$1,$W163)&gt;0,IF(INDEX([1]!Product_Pricing_Table[#Data],MATCH(DF$1,Products,0),2)="Cores",IF(HostBuild[Use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3" s="60">
        <f>IFERROR(IF(FIND(DG$1,$W163)&gt;0,IF(INDEX([1]!Product_Pricing_Table[#Data],MATCH(DG$1,Products,0),2)="Cores",IF(HostBuild[Use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3" s="59">
        <f>IFERROR(IF(FIND(DH$1,$W163)&gt;0,IF(INDEX([1]!Product_Pricing_Table[#Data],MATCH(DH$1,Products,0),2)="Cores",IF(HostBuild[Use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3" s="60">
        <f>IFERROR(IF(FIND(DI$1,$W163)&gt;0,IF(INDEX([1]!Product_Pricing_Table[#Data],MATCH(DI$1,Products,0),2)="Cores",IF(HostBuild[Use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3" s="59">
        <f>IFERROR(IF(FIND(DJ$1,$W163)&gt;0,IF(INDEX([1]!Product_Pricing_Table[#Data],MATCH(DJ$1,Products,0),2)="Cores",IF(HostBuild[Use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3" s="59">
        <f>IFERROR(IF(FIND(DK$1,$W163)&gt;0,IF(INDEX([1]!Product_Pricing_Table[#Data],MATCH(DK$1,Products,0),2)="Cores",IF(HostBuild[Use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3" s="59">
        <f>IFERROR(IF(FIND(DL$1,$W163)&gt;0,IF(INDEX([1]!Product_Pricing_Table[#Data],MATCH(DL$1,Products,0),2)="Cores",IF(HostBuild[Use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3" s="59">
        <f>IFERROR(IF(FIND(DM$1,$W163)&gt;0,IF(INDEX([1]!Product_Pricing_Table[#Data],MATCH(DM$1,Products,0),2)="Cores",IF(HostBuild[Use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3" s="59">
        <f>IFERROR(IF(FIND(DN$1,$W163)&gt;0,IF(INDEX([1]!Product_Pricing_Table[#Data],MATCH(DN$1,Products,0),2)="Cores",IF(HostBuild[Use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3" s="59">
        <f>IFERROR(IF(FIND(DO$1,$W163)&gt;0,IF(INDEX([1]!Product_Pricing_Table[#Data],MATCH(DO$1,Products,0),2)="Cores",IF(HostBuild[Use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3" s="59">
        <f>IFERROR(IF(FIND(DP$1,$W163)&gt;0,IF(INDEX([1]!Product_Pricing_Table[#Data],MATCH(DP$1,Products,0),2)="Cores",IF(HostBuild[Use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3" s="59">
        <f>IFERROR(IF(FIND(DQ$1,$W163)&gt;0,IF(INDEX([1]!Product_Pricing_Table[#Data],MATCH(DQ$1,Products,0),2)="Cores",IF(HostBuild[Use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3" s="59">
        <f>IFERROR(IF(FIND(DR$1,$W163)&gt;0,IF(INDEX([1]!Product_Pricing_Table[#Data],MATCH(DR$1,Products,0),2)="Cores",IF(HostBuild[Use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3" s="59">
        <f>IFERROR(IF(FIND(DS$1,$W163)&gt;0,IF(INDEX([1]!Product_Pricing_Table[#Data],MATCH(DS$1,Products,0),2)="Cores",IF(HostBuild[Use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3" s="59">
        <f>IFERROR(IF(FIND(DT$1,$W163)&gt;0,IF(INDEX([1]!Product_Pricing_Table[#Data],MATCH(DT$1,Products,0),2)="Cores",IF(HostBuild[Use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3" s="59">
        <f>IFERROR(IF(FIND(DU$1,$W163)&gt;0,IF(INDEX([1]!Product_Pricing_Table[#Data],MATCH(DU$1,Products,0),2)="Cores",IF(HostBuild[Use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3" s="59">
        <f>IFERROR(IF(FIND(DV$1,$W163)&gt;0,IF(INDEX([1]!Product_Pricing_Table[#Data],MATCH(DV$1,Products,0),2)="Cores",IF(HostBuild[Use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3" s="59">
        <f>IFERROR(IF(FIND(DW$1,$W163)&gt;0,IF(INDEX([1]!Product_Pricing_Table[#Data],MATCH(DW$1,Products,0),2)="Cores",IF(HostBuild[Use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3" s="59">
        <f>IFERROR(IF(FIND(DX$1,$W163)&gt;0,IF(INDEX([1]!Product_Pricing_Table[#Data],MATCH(DX$1,Products,0),2)="Cores",IF(HostBuild[Use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3" s="59">
        <f>IFERROR(IF(FIND(DY$1,$W163)&gt;0,IF(INDEX([1]!Product_Pricing_Table[#Data],MATCH(DY$1,Products,0),2)="Cores",IF(HostBuild[Use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3" s="59">
        <f>IFERROR(IF(FIND(DZ$1,$W163)&gt;0,IF(INDEX([1]!Product_Pricing_Table[#Data],MATCH(DZ$1,Products,0),2)="Cores",IF(HostBuild[Use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3" s="59">
        <f>IFERROR(IF(FIND(EA$1,$W163)&gt;0,IF(INDEX([1]!Product_Pricing_Table[#Data],MATCH(EA$1,Products,0),2)="Cores",IF(HostBuild[Use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3" s="59">
        <f>IFERROR(IF(FIND(EB$1,$W163)&gt;0,IF(INDEX([1]!Product_Pricing_Table[#Data],MATCH(EB$1,Products,0),2)="Cores",IF(HostBuild[Use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3" s="60">
        <f>IFERROR(IF(FIND(EC$1,$W163)&gt;0,IF(INDEX([1]!Product_Pricing_Table[#Data],MATCH(EC$1,Products,0),2)="Cores",IF(HostBuild[Use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3" s="59">
        <f>IFERROR(IF(FIND(ED$1,$W163)&gt;0,IF(INDEX([1]!Product_Pricing_Table[#Data],MATCH(ED$1,Products,0),2)="Cores",IF(HostBuild[Use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3" s="59">
        <f>IFERROR(IF(FIND(EE$1,$W163)&gt;0,IF(INDEX([1]!Product_Pricing_Table[#Data],MATCH(EE$1,Products,0),2)="Cores",IF(HostBuild[Use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3" s="59">
        <f>IFERROR(IF(FIND(EF$1,$W163)&gt;0,IF(INDEX([1]!Product_Pricing_Table[#Data],MATCH(EF$1,Products,0),2)="Cores",IF(HostBuild[Use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3" s="59">
        <f>IFERROR(IF(FIND(EG$1,$W163)&gt;0,IF(INDEX([1]!Product_Pricing_Table[#Data],MATCH(EG$1,Products,0),2)="Cores",IF(HostBuild[Use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3" s="59">
        <f>IFERROR(IF(FIND(EH$1,$W163)&gt;0,IF(INDEX([1]!Product_Pricing_Table[#Data],MATCH(EH$1,Products,0),2)="Cores",IF(HostBuild[Use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3" s="59">
        <f>IFERROR(IF(FIND(EI$1,$W163)&gt;0,IF(INDEX([1]!Product_Pricing_Table[#Data],MATCH(EI$1,Products,0),2)="Cores",IF(HostBuild[Use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3" s="59">
        <f>IFERROR(IF(FIND(EJ$1,$W163)&gt;0,IF(INDEX([1]!Product_Pricing_Table[#Data],MATCH(EJ$1,Products,0),2)="Cores",IF(HostBuild[Use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3" s="60">
        <f>IFERROR(IF(FIND(EK$1,$W163)&gt;0,IF(INDEX([1]!Product_Pricing_Table[#Data],MATCH(EK$1,Products,0),2)="Cores",IF(HostBuild[Use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3" s="61"/>
      <c r="EM163" s="62"/>
      <c r="EN163" s="63"/>
      <c r="EO163" s="64">
        <f>IF(OR(ISBLANK(HostBuild[Alias]),HostBuild[Server Tier]="",),0,IF(HostBuild[Server Tier]="SafeNet",Safenet_PSE_PL600+HostBuild[Network Cost],IF(HostBuild[Server Tier]="VMware",HostBuild[New VMware (Adjusted)]+HostBuild[Initial Server Cost],IF(HostBuild[Server Tier]="XI52",IBM_DIA_XI52,HostBuild[Initial Server Cost]))))</f>
        <v>1304.0999999999999</v>
      </c>
      <c r="EP163"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3" s="132">
        <f>(HostBuild[Archive
Full (GB)]+HostBuild[Archive
Incr (GB)])*Storage_DC_Dist_Tape_2014</f>
        <v>0</v>
      </c>
      <c r="ER163" s="132">
        <f>IF(ISNUMBER(HostBuild[Server HW Costs
(Monthly)]),SUM(HostBuild[[#This Row],[Server HW Costs
(Monthly)]:[Tape Costs
(Monthly)]]),0)</f>
        <v>1304.0999999999999</v>
      </c>
      <c r="ES163" s="65">
        <f>HostBuild[Software Costs
'[Year 1']
(Monthly)]+HostBuild[Total Hardware Costs
(Monthly)]</f>
        <v>1304.0999999999999</v>
      </c>
      <c r="ET163" s="65">
        <f>IFERROR(IF(FIND("Safenet",HostBuild[Server Model]),Safenet_PSE_PL600_Maint,0),0)+IFERROR(IF(FIND("XI52",HostBuild[Server Model]),IBM_DIA_XI52_Maint,0),0)+HostBuild[Software Costs
'[After Year 1']
(Monthly)]+HostBuild[Total Hardware Costs
(Monthly)]</f>
        <v>1304.0999999999999</v>
      </c>
      <c r="EU163" s="66">
        <f>SUM(HostBuild[[#This Row],[Server Cost Breakdown]:[Network Cost]])</f>
        <v>1304.0999999999999</v>
      </c>
      <c r="EV163" s="67">
        <f>IF(HostBuild[Existing Server?]="Yes - Inside this BoM",0,SUMIF(HostBuild[Alias],HostBuild[Alias],HostBuild[CPU])+SUMIF(HostBuild[Alias],HostBuild[Alias],HostBuild[Existing CPUs]))</f>
        <v>1</v>
      </c>
      <c r="EW163" s="67">
        <f>IF(HostBuild[Existing Server?]="Yes - Inside this BoM",0,SUMIF(HostBuild[Alias],HostBuild[Alias],HostBuild[Cores 
(Licensed Units)])+SUMIF(HostBuild[Alias],HostBuild[Alias],HostBuild[Existing Cores]))</f>
        <v>1</v>
      </c>
      <c r="EX163" s="67">
        <f>IF(HostBuild[Existing Server?]="Yes - Inside this BoM",0,SUMIF(HostBuild[Alias],HostBuild[Alias],HostBuild[RAM 
(GB)])+SUMIF(HostBuild[Alias],HostBuild[Alias],HostBuild[Existing RAM (GB)]))</f>
        <v>48</v>
      </c>
      <c r="EY163"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3"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3"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3"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3" s="66">
        <f>IF(ISBLANK(HostBuild[Server Model]),0,IF(HostBuild[Server Tier]="VMware",0,VLOOKUP(HostBuild[Server Tier],[1]!ServerTierRates[#Data],2,0))*HostBuild[CPU]*IF(AND(HostBuild[Server Type]="pSeries",HostBuild[Virtual Platform Storage Type]="Cloud-SAN"),0.25,1))</f>
        <v>829</v>
      </c>
      <c r="FD163" s="66">
        <f>0</f>
        <v>0</v>
      </c>
      <c r="FE163" s="66">
        <f>IF(HostBuild[Server Type]="VMware",HostBuild[RAM 
(GB)]*IF(ISERROR(FIND("DevCloud", HostBuild[Server Model])&gt;0),vRAM_per_vCPU_2014_Monthly,vRAM_per_vCPU_2014_Daily*30),0)</f>
        <v>0</v>
      </c>
      <c r="FF163"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288</v>
      </c>
      <c r="FG163"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3" s="69">
        <f>IF(HostBuild[Server Tier]="VMware",0,IF(LEFT(HostBuild[Existing Server?],3)="Yes",0,IF(OR(HostBuild[Server Type]="Sun",HostBuild[Server Type]="pSeries"),Support_Direct_Server_Sun_per_OS_2014,IF(HostBuild[Server Type]="x86",Support_Direct_Server_x86_Wintel_per_OS_2014,0))))</f>
        <v>187.1</v>
      </c>
      <c r="FI163"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4" spans="1:165" hidden="1">
      <c r="A164" s="122" t="s">
        <v>53</v>
      </c>
      <c r="B164" s="36"/>
      <c r="C164" s="36"/>
      <c r="D164" s="36"/>
      <c r="E164" s="37"/>
      <c r="F164" s="37"/>
      <c r="G164" s="103"/>
      <c r="H164" s="103"/>
      <c r="I164" s="38"/>
      <c r="J164" s="37"/>
      <c r="K164" s="37"/>
      <c r="L164" s="37"/>
      <c r="M164" s="103" t="e">
        <f ca="1">IF(rngIsDate(HostBuild[CTO Acceptance]),"Y","N")</f>
        <v>#NAME?</v>
      </c>
      <c r="N164" s="123" t="s">
        <v>3</v>
      </c>
      <c r="O164" s="39"/>
      <c r="P164" s="39"/>
      <c r="Q164" s="123" t="s">
        <v>52</v>
      </c>
      <c r="R164" s="126" t="str">
        <f>IF(NOT(ISBLANK(HostBuild[Env Label])),IFERROR(VLOOKUP(HostBuild[Env Label],[1]!tEnv[#Data],3,FALSE),""),"")</f>
        <v/>
      </c>
      <c r="S164" s="104"/>
      <c r="T164" s="40"/>
      <c r="U164" s="105"/>
      <c r="V164" s="123" t="s">
        <v>37</v>
      </c>
      <c r="W164" s="123" t="s">
        <v>39</v>
      </c>
      <c r="X164" s="123" t="s">
        <v>57</v>
      </c>
      <c r="Y164" s="123" t="s">
        <v>188</v>
      </c>
      <c r="Z164" s="126" t="str">
        <f>IF(NOT(ISBLANK(HostBuild[[#This Row],[Product 
(Acronym)]])),CONCATENATE(HostBuild[[#This Row],[Type]],"-",HostBuild[[#This Row],[Product 
(Acronym)]]),"")</f>
        <v>AP-CBOL</v>
      </c>
      <c r="AA164" s="106"/>
      <c r="AB164" s="106" t="s">
        <v>76</v>
      </c>
      <c r="AC164" s="41"/>
      <c r="AD164" s="42"/>
      <c r="AE164" s="42"/>
      <c r="AF164" s="43"/>
      <c r="AG164" s="124"/>
      <c r="AH164" s="107"/>
      <c r="AI164" s="124" t="s">
        <v>388</v>
      </c>
      <c r="AJ164" s="123">
        <f>IF(COUNTIF(HostBuild[Alias],HostBuild[Alias]),1/COUNTIF(HostBuild[Alias],HostBuild[Alias]),0)</f>
        <v>1</v>
      </c>
      <c r="AK164" s="124"/>
      <c r="AL164" s="124"/>
      <c r="AM164" s="44" t="s">
        <v>101</v>
      </c>
      <c r="AN164" s="45" t="str">
        <f>IF(NOT(ISBLANK(HostBuild[Server Model])),VLOOKUP(HostBuild[Server Model],[1]!ServerModelsTier[#Data],2,FALSE),"")</f>
        <v>IBM P-Series Tier 2</v>
      </c>
      <c r="AO164" s="45" t="str">
        <f>IF(NOT(ISBLANK(HostBuild[Server Model])),VLOOKUP(HostBuild[Server Model],[1]!ServerModelsTier[#Data],5,FALSE),"")</f>
        <v>pSeries</v>
      </c>
      <c r="AP164" s="44"/>
      <c r="AQ164" s="44" t="s">
        <v>102</v>
      </c>
      <c r="AR164" s="46">
        <v>1</v>
      </c>
      <c r="AS164" s="108"/>
      <c r="AT164" s="47">
        <v>1</v>
      </c>
      <c r="AU164" s="109">
        <f>IF(IFERROR(FIND("P-Series",HostBuild[Server Tier]),0),CEILING((HostBuild[Existing CPUs]+HostBuild[CPU])*16,8),"")</f>
        <v>16</v>
      </c>
      <c r="AV164" s="48">
        <v>48</v>
      </c>
      <c r="AW164" s="124"/>
      <c r="AX164" s="124"/>
      <c r="AY164" s="124"/>
      <c r="AZ164" s="49"/>
      <c r="BA164" s="124"/>
      <c r="BB164" s="124"/>
      <c r="BC164" s="42"/>
      <c r="BD164" s="124"/>
      <c r="BE164" s="124"/>
      <c r="BF164" s="124"/>
      <c r="BG164" s="124"/>
      <c r="BH164" s="124"/>
      <c r="BI164" s="124"/>
      <c r="BJ164" s="124"/>
      <c r="BK164"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64" s="127"/>
      <c r="BM164" s="129">
        <f>IF(ISNUMBER(HostBuild[Recommended SAN (GB)]),HostBuild[Recommended SAN (GB)])+IF(HostBuild[Additional SAN (GB)]&gt;0,CEILING(HostBuild[Additional SAN (GB)],LUN),-(CEILING(-HostBuild[Additional SAN (GB)],LUN)))</f>
        <v>0</v>
      </c>
      <c r="BN164" s="128"/>
      <c r="BO164" s="129">
        <f>HostBuild[SAN (GB)
NEEDED TODAY]+CEILING(HostBuild[SAN (GB)
RESERVED
DO NOT USE TO BUILD], LUN)</f>
        <v>0</v>
      </c>
      <c r="BP164" s="130"/>
      <c r="BQ164" s="131"/>
      <c r="BR164" s="125" t="s">
        <v>64</v>
      </c>
      <c r="BS164" s="110">
        <f>IF(HostBuild[Existing Server?]&lt;&gt;"Yes - Inside this BoM",IF(ISNUMBER(HostBuild[RAM 
(GB)]),IF(HostBuild[Existing RAM (GB)]+HostBuild[RAM 
(GB)]&gt;0,IF(HostBuild[Virtual Platform Storage Type]="NAS",110+HostBuild[Existing RAM (GB)]+HostBuild[RAM 
(GB)]*1.75,0),0),0),0)</f>
        <v>0</v>
      </c>
      <c r="BT164" s="111"/>
      <c r="BU164" s="112">
        <f>IF(ISNUMBER(HostBuild[Recommended NAS (GB)]),HostBuild[Recommended NAS (GB)])+HostBuild[Additional NAS (GB)]</f>
        <v>0</v>
      </c>
      <c r="BV164" s="50"/>
      <c r="BW164" s="50"/>
      <c r="BX164" s="133">
        <f>IFERROR((HostBuild[SAN (GB)
End-State
DO NOT USE TO BUILD]+HostBuild[SAN (GB) Shared])*25%,"")</f>
        <v>0</v>
      </c>
      <c r="BY164" s="113">
        <f>IFERROR(HostBuild[Archive
Full (GB)]*15%,"")</f>
        <v>0</v>
      </c>
      <c r="BZ164" s="51"/>
      <c r="CA164" s="51"/>
      <c r="CB164" s="52"/>
      <c r="CC164" s="53"/>
      <c r="CD164" s="52"/>
      <c r="CE164" s="54"/>
      <c r="CF164" s="128"/>
      <c r="CG164" s="114"/>
      <c r="CH164" s="55"/>
      <c r="CI164" s="56"/>
      <c r="CJ164" s="57"/>
      <c r="CK164" s="58"/>
      <c r="CL164" s="59">
        <f>IFERROR(IF(FIND(CL$1,$W164)&gt;0,IF(INDEX([1]!Product_Pricing_Table[#Data],MATCH(CL$1,Products,0),2)="Cores",IF(HostBuild[Use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4" s="59">
        <f>IFERROR(IF(FIND(CM$1,$W164)&gt;0,IF(INDEX([1]!Product_Pricing_Table[#Data],MATCH(CM$1,Products,0),2)="Cores",IF(HostBuild[Use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4" s="59">
        <f>IFERROR(IF(FIND(CN$1,$W164)&gt;0,IF(INDEX([1]!Product_Pricing_Table[#Data],MATCH(CN$1,Products,0),2)="Cores",IF(HostBuild[Use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4" s="59">
        <f>IFERROR(IF(FIND(CO$1,$W164)&gt;0,IF(INDEX([1]!Product_Pricing_Table[#Data],MATCH(CO$1,Products,0),2)="Cores",IF(HostBuild[Use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4" s="59">
        <f>IFERROR(IF(FIND(CP$1,$W164)&gt;0,IF(INDEX([1]!Product_Pricing_Table[#Data],MATCH(CP$1,Products,0),2)="Cores",IF(HostBuild[Use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4" s="59">
        <f>IFERROR(IF(FIND(CQ$1,$W164)&gt;0,IF(INDEX([1]!Product_Pricing_Table[#Data],MATCH(CQ$1,Products,0),2)="Cores",IF(HostBuild[Use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4" s="59">
        <f>IFERROR(IF(FIND(CR$1,$W164)&gt;0,IF(INDEX([1]!Product_Pricing_Table[#Data],MATCH(CR$1,Products,0),2)="Cores",IF(HostBuild[Use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4" s="59">
        <f>IFERROR(IF(FIND(CS$1,$W164)&gt;0,IF(INDEX([1]!Product_Pricing_Table[#Data],MATCH(CS$1,Products,0),2)="Cores",IF(HostBuild[Use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4" s="59">
        <f>IFERROR(IF(FIND(CT$1,$W164)&gt;0,IF(INDEX([1]!Product_Pricing_Table[#Data],MATCH(CT$1,Products,0),2)="Cores",IF(HostBuild[Use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4" s="59">
        <f>IFERROR(IF(FIND(CU$1,$W164)&gt;0,IF(INDEX([1]!Product_Pricing_Table[#Data],MATCH(CU$1,Products,0),2)="Cores",IF(HostBuild[Use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4" s="59">
        <f>IFERROR(IF(FIND(CV$1,$W164)&gt;0,IF(INDEX([1]!Product_Pricing_Table[#Data],MATCH(CV$1,Products,0),2)="Cores",IF(HostBuild[Use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4" s="59">
        <f>IFERROR(IF(FIND(CW$1,$W164)&gt;0,IF(INDEX([1]!Product_Pricing_Table[#Data],MATCH(CW$1,Products,0),2)="Cores",IF(HostBuild[Use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4" s="59">
        <f>IFERROR(IF(FIND(CX$1,$W164)&gt;0,IF(INDEX([1]!Product_Pricing_Table[#Data],MATCH(CX$1,Products,0),2)="Cores",IF(HostBuild[Use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4" s="59">
        <f>IFERROR(IF(FIND(CY$1,$W164)&gt;0,IF(INDEX([1]!Product_Pricing_Table[#Data],MATCH(CY$1,Products,0),2)="Cores",IF(HostBuild[Use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4" s="59">
        <f>IFERROR(IF(FIND(CZ$1,$W164)&gt;0,IF(INDEX([1]!Product_Pricing_Table[#Data],MATCH(CZ$1,Products,0),2)="Cores",IF(HostBuild[Use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4" s="59">
        <f>IFERROR(IF(FIND(DA$1,$W164)&gt;0,IF(INDEX([1]!Product_Pricing_Table[#Data],MATCH(DA$1,Products,0),2)="Cores",IF(HostBuild[Use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4" s="59">
        <f>IFERROR(IF(FIND(DB$1,$W164)&gt;0,IF(INDEX([1]!Product_Pricing_Table[#Data],MATCH(DB$1,Products,0),2)="Cores",IF(HostBuild[Use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4" s="59">
        <f>IFERROR(IF(FIND(DC$1,$W164)&gt;0,IF(INDEX([1]!Product_Pricing_Table[#Data],MATCH(DC$1,Products,0),2)="Cores",IF(HostBuild[Use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4" s="59">
        <f>IFERROR(IF(FIND(DD$1,$W164)&gt;0,IF(INDEX([1]!Product_Pricing_Table[#Data],MATCH(DD$1,Products,0),2)="Cores",IF(HostBuild[Use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4" s="59">
        <f>IFERROR(IF(FIND(DE$1,$W164)&gt;0,IF(INDEX([1]!Product_Pricing_Table[#Data],MATCH(DE$1,Products,0),2)="Cores",IF(HostBuild[Use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4" s="60">
        <f>IFERROR(IF(FIND(DF$1,$W164)&gt;0,IF(INDEX([1]!Product_Pricing_Table[#Data],MATCH(DF$1,Products,0),2)="Cores",IF(HostBuild[Use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4" s="60">
        <f>IFERROR(IF(FIND(DG$1,$W164)&gt;0,IF(INDEX([1]!Product_Pricing_Table[#Data],MATCH(DG$1,Products,0),2)="Cores",IF(HostBuild[Use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4" s="59">
        <f>IFERROR(IF(FIND(DH$1,$W164)&gt;0,IF(INDEX([1]!Product_Pricing_Table[#Data],MATCH(DH$1,Products,0),2)="Cores",IF(HostBuild[Use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4" s="60">
        <f>IFERROR(IF(FIND(DI$1,$W164)&gt;0,IF(INDEX([1]!Product_Pricing_Table[#Data],MATCH(DI$1,Products,0),2)="Cores",IF(HostBuild[Use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4" s="59">
        <f>IFERROR(IF(FIND(DJ$1,$W164)&gt;0,IF(INDEX([1]!Product_Pricing_Table[#Data],MATCH(DJ$1,Products,0),2)="Cores",IF(HostBuild[Use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4" s="59">
        <f>IFERROR(IF(FIND(DK$1,$W164)&gt;0,IF(INDEX([1]!Product_Pricing_Table[#Data],MATCH(DK$1,Products,0),2)="Cores",IF(HostBuild[Use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4" s="59">
        <f>IFERROR(IF(FIND(DL$1,$W164)&gt;0,IF(INDEX([1]!Product_Pricing_Table[#Data],MATCH(DL$1,Products,0),2)="Cores",IF(HostBuild[Use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4" s="59">
        <f>IFERROR(IF(FIND(DM$1,$W164)&gt;0,IF(INDEX([1]!Product_Pricing_Table[#Data],MATCH(DM$1,Products,0),2)="Cores",IF(HostBuild[Use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4" s="59">
        <f>IFERROR(IF(FIND(DN$1,$W164)&gt;0,IF(INDEX([1]!Product_Pricing_Table[#Data],MATCH(DN$1,Products,0),2)="Cores",IF(HostBuild[Use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4" s="59">
        <f>IFERROR(IF(FIND(DO$1,$W164)&gt;0,IF(INDEX([1]!Product_Pricing_Table[#Data],MATCH(DO$1,Products,0),2)="Cores",IF(HostBuild[Use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4" s="59">
        <f>IFERROR(IF(FIND(DP$1,$W164)&gt;0,IF(INDEX([1]!Product_Pricing_Table[#Data],MATCH(DP$1,Products,0),2)="Cores",IF(HostBuild[Use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4" s="59">
        <f>IFERROR(IF(FIND(DQ$1,$W164)&gt;0,IF(INDEX([1]!Product_Pricing_Table[#Data],MATCH(DQ$1,Products,0),2)="Cores",IF(HostBuild[Use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4" s="59">
        <f>IFERROR(IF(FIND(DR$1,$W164)&gt;0,IF(INDEX([1]!Product_Pricing_Table[#Data],MATCH(DR$1,Products,0),2)="Cores",IF(HostBuild[Use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4" s="59">
        <f>IFERROR(IF(FIND(DS$1,$W164)&gt;0,IF(INDEX([1]!Product_Pricing_Table[#Data],MATCH(DS$1,Products,0),2)="Cores",IF(HostBuild[Use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4" s="59">
        <f>IFERROR(IF(FIND(DT$1,$W164)&gt;0,IF(INDEX([1]!Product_Pricing_Table[#Data],MATCH(DT$1,Products,0),2)="Cores",IF(HostBuild[Use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4" s="59">
        <f>IFERROR(IF(FIND(DU$1,$W164)&gt;0,IF(INDEX([1]!Product_Pricing_Table[#Data],MATCH(DU$1,Products,0),2)="Cores",IF(HostBuild[Use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4" s="59">
        <f>IFERROR(IF(FIND(DV$1,$W164)&gt;0,IF(INDEX([1]!Product_Pricing_Table[#Data],MATCH(DV$1,Products,0),2)="Cores",IF(HostBuild[Use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4" s="59">
        <f>IFERROR(IF(FIND(DW$1,$W164)&gt;0,IF(INDEX([1]!Product_Pricing_Table[#Data],MATCH(DW$1,Products,0),2)="Cores",IF(HostBuild[Use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4" s="59">
        <f>IFERROR(IF(FIND(DX$1,$W164)&gt;0,IF(INDEX([1]!Product_Pricing_Table[#Data],MATCH(DX$1,Products,0),2)="Cores",IF(HostBuild[Use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4" s="59">
        <f>IFERROR(IF(FIND(DY$1,$W164)&gt;0,IF(INDEX([1]!Product_Pricing_Table[#Data],MATCH(DY$1,Products,0),2)="Cores",IF(HostBuild[Use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4" s="59">
        <f>IFERROR(IF(FIND(DZ$1,$W164)&gt;0,IF(INDEX([1]!Product_Pricing_Table[#Data],MATCH(DZ$1,Products,0),2)="Cores",IF(HostBuild[Use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4" s="59">
        <f>IFERROR(IF(FIND(EA$1,$W164)&gt;0,IF(INDEX([1]!Product_Pricing_Table[#Data],MATCH(EA$1,Products,0),2)="Cores",IF(HostBuild[Use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4" s="59">
        <f>IFERROR(IF(FIND(EB$1,$W164)&gt;0,IF(INDEX([1]!Product_Pricing_Table[#Data],MATCH(EB$1,Products,0),2)="Cores",IF(HostBuild[Use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4" s="60">
        <f>IFERROR(IF(FIND(EC$1,$W164)&gt;0,IF(INDEX([1]!Product_Pricing_Table[#Data],MATCH(EC$1,Products,0),2)="Cores",IF(HostBuild[Use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4" s="59">
        <f>IFERROR(IF(FIND(ED$1,$W164)&gt;0,IF(INDEX([1]!Product_Pricing_Table[#Data],MATCH(ED$1,Products,0),2)="Cores",IF(HostBuild[Use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4" s="59">
        <f>IFERROR(IF(FIND(EE$1,$W164)&gt;0,IF(INDEX([1]!Product_Pricing_Table[#Data],MATCH(EE$1,Products,0),2)="Cores",IF(HostBuild[Use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4" s="59">
        <f>IFERROR(IF(FIND(EF$1,$W164)&gt;0,IF(INDEX([1]!Product_Pricing_Table[#Data],MATCH(EF$1,Products,0),2)="Cores",IF(HostBuild[Use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4" s="59">
        <f>IFERROR(IF(FIND(EG$1,$W164)&gt;0,IF(INDEX([1]!Product_Pricing_Table[#Data],MATCH(EG$1,Products,0),2)="Cores",IF(HostBuild[Use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4" s="59">
        <f>IFERROR(IF(FIND(EH$1,$W164)&gt;0,IF(INDEX([1]!Product_Pricing_Table[#Data],MATCH(EH$1,Products,0),2)="Cores",IF(HostBuild[Use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4" s="59">
        <f>IFERROR(IF(FIND(EI$1,$W164)&gt;0,IF(INDEX([1]!Product_Pricing_Table[#Data],MATCH(EI$1,Products,0),2)="Cores",IF(HostBuild[Use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4" s="59">
        <f>IFERROR(IF(FIND(EJ$1,$W164)&gt;0,IF(INDEX([1]!Product_Pricing_Table[#Data],MATCH(EJ$1,Products,0),2)="Cores",IF(HostBuild[Use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4" s="60">
        <f>IFERROR(IF(FIND(EK$1,$W164)&gt;0,IF(INDEX([1]!Product_Pricing_Table[#Data],MATCH(EK$1,Products,0),2)="Cores",IF(HostBuild[Use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4" s="61"/>
      <c r="EM164" s="62"/>
      <c r="EN164" s="63"/>
      <c r="EO164" s="64">
        <f>IF(OR(ISBLANK(HostBuild[Alias]),HostBuild[Server Tier]="",),0,IF(HostBuild[Server Tier]="SafeNet",Safenet_PSE_PL600+HostBuild[Network Cost],IF(HostBuild[Server Tier]="VMware",HostBuild[New VMware (Adjusted)]+HostBuild[Initial Server Cost],IF(HostBuild[Server Tier]="XI52",IBM_DIA_XI52,HostBuild[Initial Server Cost]))))</f>
        <v>1304.0999999999999</v>
      </c>
      <c r="EP164"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4" s="132">
        <f>(HostBuild[Archive
Full (GB)]+HostBuild[Archive
Incr (GB)])*Storage_DC_Dist_Tape_2014</f>
        <v>0</v>
      </c>
      <c r="ER164" s="132">
        <f>IF(ISNUMBER(HostBuild[Server HW Costs
(Monthly)]),SUM(HostBuild[[#This Row],[Server HW Costs
(Monthly)]:[Tape Costs
(Monthly)]]),0)</f>
        <v>1304.0999999999999</v>
      </c>
      <c r="ES164" s="65">
        <f>HostBuild[Software Costs
'[Year 1']
(Monthly)]+HostBuild[Total Hardware Costs
(Monthly)]</f>
        <v>1304.0999999999999</v>
      </c>
      <c r="ET164" s="65">
        <f>IFERROR(IF(FIND("Safenet",HostBuild[Server Model]),Safenet_PSE_PL600_Maint,0),0)+IFERROR(IF(FIND("XI52",HostBuild[Server Model]),IBM_DIA_XI52_Maint,0),0)+HostBuild[Software Costs
'[After Year 1']
(Monthly)]+HostBuild[Total Hardware Costs
(Monthly)]</f>
        <v>1304.0999999999999</v>
      </c>
      <c r="EU164" s="66">
        <f>SUM(HostBuild[[#This Row],[Server Cost Breakdown]:[Network Cost]])</f>
        <v>1304.0999999999999</v>
      </c>
      <c r="EV164" s="67">
        <f>IF(HostBuild[Existing Server?]="Yes - Inside this BoM",0,SUMIF(HostBuild[Alias],HostBuild[Alias],HostBuild[CPU])+SUMIF(HostBuild[Alias],HostBuild[Alias],HostBuild[Existing CPUs]))</f>
        <v>1</v>
      </c>
      <c r="EW164" s="67">
        <f>IF(HostBuild[Existing Server?]="Yes - Inside this BoM",0,SUMIF(HostBuild[Alias],HostBuild[Alias],HostBuild[Cores 
(Licensed Units)])+SUMIF(HostBuild[Alias],HostBuild[Alias],HostBuild[Existing Cores]))</f>
        <v>1</v>
      </c>
      <c r="EX164" s="67">
        <f>IF(HostBuild[Existing Server?]="Yes - Inside this BoM",0,SUMIF(HostBuild[Alias],HostBuild[Alias],HostBuild[RAM 
(GB)])+SUMIF(HostBuild[Alias],HostBuild[Alias],HostBuild[Existing RAM (GB)]))</f>
        <v>48</v>
      </c>
      <c r="EY164"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4"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4"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4"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4" s="66">
        <f>IF(ISBLANK(HostBuild[Server Model]),0,IF(HostBuild[Server Tier]="VMware",0,VLOOKUP(HostBuild[Server Tier],[1]!ServerTierRates[#Data],2,0))*HostBuild[CPU]*IF(AND(HostBuild[Server Type]="pSeries",HostBuild[Virtual Platform Storage Type]="Cloud-SAN"),0.25,1))</f>
        <v>829</v>
      </c>
      <c r="FD164" s="66">
        <f>0</f>
        <v>0</v>
      </c>
      <c r="FE164" s="66">
        <f>IF(HostBuild[Server Type]="VMware",HostBuild[RAM 
(GB)]*IF(ISERROR(FIND("DevCloud", HostBuild[Server Model])&gt;0),vRAM_per_vCPU_2014_Monthly,vRAM_per_vCPU_2014_Daily*30),0)</f>
        <v>0</v>
      </c>
      <c r="FF164"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288</v>
      </c>
      <c r="FG164"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4" s="69">
        <f>IF(HostBuild[Server Tier]="VMware",0,IF(LEFT(HostBuild[Existing Server?],3)="Yes",0,IF(OR(HostBuild[Server Type]="Sun",HostBuild[Server Type]="pSeries"),Support_Direct_Server_Sun_per_OS_2014,IF(HostBuild[Server Type]="x86",Support_Direct_Server_x86_Wintel_per_OS_2014,0))))</f>
        <v>187.1</v>
      </c>
      <c r="FI164"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5" spans="1:165" hidden="1">
      <c r="A165" s="122" t="s">
        <v>53</v>
      </c>
      <c r="B165" s="36"/>
      <c r="C165" s="36"/>
      <c r="D165" s="36"/>
      <c r="E165" s="37"/>
      <c r="F165" s="37"/>
      <c r="G165" s="103"/>
      <c r="H165" s="103"/>
      <c r="I165" s="38"/>
      <c r="J165" s="37"/>
      <c r="K165" s="37"/>
      <c r="L165" s="37"/>
      <c r="M165" s="103" t="e">
        <f ca="1">IF(rngIsDate(HostBuild[CTO Acceptance]),"Y","N")</f>
        <v>#NAME?</v>
      </c>
      <c r="N165" s="123" t="s">
        <v>3</v>
      </c>
      <c r="O165" s="39"/>
      <c r="P165" s="39"/>
      <c r="Q165" s="123" t="s">
        <v>52</v>
      </c>
      <c r="R165" s="126" t="str">
        <f>IF(NOT(ISBLANK(HostBuild[Env Label])),IFERROR(VLOOKUP(HostBuild[Env Label],[1]!tEnv[#Data],3,FALSE),""),"")</f>
        <v/>
      </c>
      <c r="S165" s="104"/>
      <c r="T165" s="40"/>
      <c r="U165" s="105"/>
      <c r="V165" s="123" t="s">
        <v>41</v>
      </c>
      <c r="W165" s="123" t="s">
        <v>43</v>
      </c>
      <c r="X165" s="123" t="s">
        <v>57</v>
      </c>
      <c r="Y165" s="123" t="s">
        <v>188</v>
      </c>
      <c r="Z165" s="126" t="str">
        <f>IF(NOT(ISBLANK(HostBuild[[#This Row],[Product 
(Acronym)]])),CONCATENATE(HostBuild[[#This Row],[Type]],"-",HostBuild[[#This Row],[Product 
(Acronym)]]),"")</f>
        <v>AP-CBOL</v>
      </c>
      <c r="AA165" s="106"/>
      <c r="AB165" s="106" t="s">
        <v>59</v>
      </c>
      <c r="AC165" s="41"/>
      <c r="AD165" s="42"/>
      <c r="AE165" s="42"/>
      <c r="AF165" s="43"/>
      <c r="AG165" s="124"/>
      <c r="AH165" s="107"/>
      <c r="AI165" s="124" t="s">
        <v>389</v>
      </c>
      <c r="AJ165" s="123">
        <f>IF(COUNTIF(HostBuild[Alias],HostBuild[Alias]),1/COUNTIF(HostBuild[Alias],HostBuild[Alias]),0)</f>
        <v>1</v>
      </c>
      <c r="AK165" s="124"/>
      <c r="AL165" s="124"/>
      <c r="AM165" s="44" t="s">
        <v>101</v>
      </c>
      <c r="AN165" s="45" t="str">
        <f>IF(NOT(ISBLANK(HostBuild[Server Model])),VLOOKUP(HostBuild[Server Model],[1]!ServerModelsTier[#Data],2,FALSE),"")</f>
        <v>IBM P-Series Tier 2</v>
      </c>
      <c r="AO165" s="45" t="str">
        <f>IF(NOT(ISBLANK(HostBuild[Server Model])),VLOOKUP(HostBuild[Server Model],[1]!ServerModelsTier[#Data],5,FALSE),"")</f>
        <v>pSeries</v>
      </c>
      <c r="AP165" s="44"/>
      <c r="AQ165" s="44" t="s">
        <v>102</v>
      </c>
      <c r="AR165" s="46">
        <v>1</v>
      </c>
      <c r="AS165" s="108"/>
      <c r="AT165" s="47">
        <v>2</v>
      </c>
      <c r="AU165" s="109">
        <f>IF(IFERROR(FIND("P-Series",HostBuild[Server Tier]),0),CEILING((HostBuild[Existing CPUs]+HostBuild[CPU])*16,8),"")</f>
        <v>16</v>
      </c>
      <c r="AV165" s="48">
        <v>16</v>
      </c>
      <c r="AW165" s="124"/>
      <c r="AX165" s="124"/>
      <c r="AY165" s="124"/>
      <c r="AZ165" s="49"/>
      <c r="BA165" s="124"/>
      <c r="BB165" s="124"/>
      <c r="BC165" s="42"/>
      <c r="BD165" s="124"/>
      <c r="BE165" s="124"/>
      <c r="BF165" s="124"/>
      <c r="BG165" s="124"/>
      <c r="BH165" s="124"/>
      <c r="BI165" s="124"/>
      <c r="BJ165" s="124"/>
      <c r="BK165"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65" s="127"/>
      <c r="BM165" s="129">
        <f>IF(ISNUMBER(HostBuild[Recommended SAN (GB)]),HostBuild[Recommended SAN (GB)])+IF(HostBuild[Additional SAN (GB)]&gt;0,CEILING(HostBuild[Additional SAN (GB)],LUN),-(CEILING(-HostBuild[Additional SAN (GB)],LUN)))</f>
        <v>0</v>
      </c>
      <c r="BN165" s="128"/>
      <c r="BO165" s="129">
        <f>HostBuild[SAN (GB)
NEEDED TODAY]+CEILING(HostBuild[SAN (GB)
RESERVED
DO NOT USE TO BUILD], LUN)</f>
        <v>0</v>
      </c>
      <c r="BP165" s="130"/>
      <c r="BQ165" s="131"/>
      <c r="BR165" s="125" t="s">
        <v>64</v>
      </c>
      <c r="BS165" s="110">
        <f>IF(HostBuild[Existing Server?]&lt;&gt;"Yes - Inside this BoM",IF(ISNUMBER(HostBuild[RAM 
(GB)]),IF(HostBuild[Existing RAM (GB)]+HostBuild[RAM 
(GB)]&gt;0,IF(HostBuild[Virtual Platform Storage Type]="NAS",110+HostBuild[Existing RAM (GB)]+HostBuild[RAM 
(GB)]*1.75,0),0),0),0)</f>
        <v>0</v>
      </c>
      <c r="BT165" s="111"/>
      <c r="BU165" s="112">
        <f>IF(ISNUMBER(HostBuild[Recommended NAS (GB)]),HostBuild[Recommended NAS (GB)])+HostBuild[Additional NAS (GB)]</f>
        <v>0</v>
      </c>
      <c r="BV165" s="50"/>
      <c r="BW165" s="50"/>
      <c r="BX165" s="133">
        <f>IFERROR((HostBuild[SAN (GB)
End-State
DO NOT USE TO BUILD]+HostBuild[SAN (GB) Shared])*25%,"")</f>
        <v>0</v>
      </c>
      <c r="BY165" s="113">
        <f>IFERROR(HostBuild[Archive
Full (GB)]*15%,"")</f>
        <v>0</v>
      </c>
      <c r="BZ165" s="51"/>
      <c r="CA165" s="51"/>
      <c r="CB165" s="52"/>
      <c r="CC165" s="53"/>
      <c r="CD165" s="52"/>
      <c r="CE165" s="54"/>
      <c r="CF165" s="128"/>
      <c r="CG165" s="114"/>
      <c r="CH165" s="55"/>
      <c r="CI165" s="56"/>
      <c r="CJ165" s="57"/>
      <c r="CK165" s="58"/>
      <c r="CL165" s="59">
        <f>IFERROR(IF(FIND(CL$1,$W165)&gt;0,IF(INDEX([1]!Product_Pricing_Table[#Data],MATCH(CL$1,Products,0),2)="Cores",IF(HostBuild[Use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5" s="59">
        <f>IFERROR(IF(FIND(CM$1,$W165)&gt;0,IF(INDEX([1]!Product_Pricing_Table[#Data],MATCH(CM$1,Products,0),2)="Cores",IF(HostBuild[Use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5" s="59">
        <f>IFERROR(IF(FIND(CN$1,$W165)&gt;0,IF(INDEX([1]!Product_Pricing_Table[#Data],MATCH(CN$1,Products,0),2)="Cores",IF(HostBuild[Use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5" s="59">
        <f>IFERROR(IF(FIND(CO$1,$W165)&gt;0,IF(INDEX([1]!Product_Pricing_Table[#Data],MATCH(CO$1,Products,0),2)="Cores",IF(HostBuild[Use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5" s="59">
        <f>IFERROR(IF(FIND(CP$1,$W165)&gt;0,IF(INDEX([1]!Product_Pricing_Table[#Data],MATCH(CP$1,Products,0),2)="Cores",IF(HostBuild[Use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5" s="59">
        <f>IFERROR(IF(FIND(CQ$1,$W165)&gt;0,IF(INDEX([1]!Product_Pricing_Table[#Data],MATCH(CQ$1,Products,0),2)="Cores",IF(HostBuild[Use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5" s="59">
        <f>IFERROR(IF(FIND(CR$1,$W165)&gt;0,IF(INDEX([1]!Product_Pricing_Table[#Data],MATCH(CR$1,Products,0),2)="Cores",IF(HostBuild[Use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5" s="59">
        <f>IFERROR(IF(FIND(CS$1,$W165)&gt;0,IF(INDEX([1]!Product_Pricing_Table[#Data],MATCH(CS$1,Products,0),2)="Cores",IF(HostBuild[Use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5" s="59">
        <f>IFERROR(IF(FIND(CT$1,$W165)&gt;0,IF(INDEX([1]!Product_Pricing_Table[#Data],MATCH(CT$1,Products,0),2)="Cores",IF(HostBuild[Use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5" s="59">
        <f>IFERROR(IF(FIND(CU$1,$W165)&gt;0,IF(INDEX([1]!Product_Pricing_Table[#Data],MATCH(CU$1,Products,0),2)="Cores",IF(HostBuild[Use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5" s="59">
        <f>IFERROR(IF(FIND(CV$1,$W165)&gt;0,IF(INDEX([1]!Product_Pricing_Table[#Data],MATCH(CV$1,Products,0),2)="Cores",IF(HostBuild[Use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5" s="59">
        <f>IFERROR(IF(FIND(CW$1,$W165)&gt;0,IF(INDEX([1]!Product_Pricing_Table[#Data],MATCH(CW$1,Products,0),2)="Cores",IF(HostBuild[Use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5" s="59">
        <f>IFERROR(IF(FIND(CX$1,$W165)&gt;0,IF(INDEX([1]!Product_Pricing_Table[#Data],MATCH(CX$1,Products,0),2)="Cores",IF(HostBuild[Use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5" s="59">
        <f>IFERROR(IF(FIND(CY$1,$W165)&gt;0,IF(INDEX([1]!Product_Pricing_Table[#Data],MATCH(CY$1,Products,0),2)="Cores",IF(HostBuild[Use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5" s="59">
        <f>IFERROR(IF(FIND(CZ$1,$W165)&gt;0,IF(INDEX([1]!Product_Pricing_Table[#Data],MATCH(CZ$1,Products,0),2)="Cores",IF(HostBuild[Use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5" s="59">
        <f>IFERROR(IF(FIND(DA$1,$W165)&gt;0,IF(INDEX([1]!Product_Pricing_Table[#Data],MATCH(DA$1,Products,0),2)="Cores",IF(HostBuild[Use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5" s="59">
        <f>IFERROR(IF(FIND(DB$1,$W165)&gt;0,IF(INDEX([1]!Product_Pricing_Table[#Data],MATCH(DB$1,Products,0),2)="Cores",IF(HostBuild[Use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5" s="59">
        <f>IFERROR(IF(FIND(DC$1,$W165)&gt;0,IF(INDEX([1]!Product_Pricing_Table[#Data],MATCH(DC$1,Products,0),2)="Cores",IF(HostBuild[Use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5" s="59">
        <f>IFERROR(IF(FIND(DD$1,$W165)&gt;0,IF(INDEX([1]!Product_Pricing_Table[#Data],MATCH(DD$1,Products,0),2)="Cores",IF(HostBuild[Use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5" s="59">
        <f>IFERROR(IF(FIND(DE$1,$W165)&gt;0,IF(INDEX([1]!Product_Pricing_Table[#Data],MATCH(DE$1,Products,0),2)="Cores",IF(HostBuild[Use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5" s="60">
        <f>IFERROR(IF(FIND(DF$1,$W165)&gt;0,IF(INDEX([1]!Product_Pricing_Table[#Data],MATCH(DF$1,Products,0),2)="Cores",IF(HostBuild[Use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5" s="60">
        <f>IFERROR(IF(FIND(DG$1,$W165)&gt;0,IF(INDEX([1]!Product_Pricing_Table[#Data],MATCH(DG$1,Products,0),2)="Cores",IF(HostBuild[Use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5" s="59">
        <f>IFERROR(IF(FIND(DH$1,$W165)&gt;0,IF(INDEX([1]!Product_Pricing_Table[#Data],MATCH(DH$1,Products,0),2)="Cores",IF(HostBuild[Use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5" s="60">
        <f>IFERROR(IF(FIND(DI$1,$W165)&gt;0,IF(INDEX([1]!Product_Pricing_Table[#Data],MATCH(DI$1,Products,0),2)="Cores",IF(HostBuild[Use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5" s="59">
        <f>IFERROR(IF(FIND(DJ$1,$W165)&gt;0,IF(INDEX([1]!Product_Pricing_Table[#Data],MATCH(DJ$1,Products,0),2)="Cores",IF(HostBuild[Use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5" s="59">
        <f>IFERROR(IF(FIND(DK$1,$W165)&gt;0,IF(INDEX([1]!Product_Pricing_Table[#Data],MATCH(DK$1,Products,0),2)="Cores",IF(HostBuild[Use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5" s="59">
        <f>IFERROR(IF(FIND(DL$1,$W165)&gt;0,IF(INDEX([1]!Product_Pricing_Table[#Data],MATCH(DL$1,Products,0),2)="Cores",IF(HostBuild[Use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5" s="59">
        <f>IFERROR(IF(FIND(DM$1,$W165)&gt;0,IF(INDEX([1]!Product_Pricing_Table[#Data],MATCH(DM$1,Products,0),2)="Cores",IF(HostBuild[Use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5" s="59">
        <f>IFERROR(IF(FIND(DN$1,$W165)&gt;0,IF(INDEX([1]!Product_Pricing_Table[#Data],MATCH(DN$1,Products,0),2)="Cores",IF(HostBuild[Use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5" s="59">
        <f>IFERROR(IF(FIND(DO$1,$W165)&gt;0,IF(INDEX([1]!Product_Pricing_Table[#Data],MATCH(DO$1,Products,0),2)="Cores",IF(HostBuild[Use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5" s="59">
        <f>IFERROR(IF(FIND(DP$1,$W165)&gt;0,IF(INDEX([1]!Product_Pricing_Table[#Data],MATCH(DP$1,Products,0),2)="Cores",IF(HostBuild[Use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5" s="59">
        <f>IFERROR(IF(FIND(DQ$1,$W165)&gt;0,IF(INDEX([1]!Product_Pricing_Table[#Data],MATCH(DQ$1,Products,0),2)="Cores",IF(HostBuild[Use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5" s="59">
        <f>IFERROR(IF(FIND(DR$1,$W165)&gt;0,IF(INDEX([1]!Product_Pricing_Table[#Data],MATCH(DR$1,Products,0),2)="Cores",IF(HostBuild[Use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5" s="59">
        <f>IFERROR(IF(FIND(DS$1,$W165)&gt;0,IF(INDEX([1]!Product_Pricing_Table[#Data],MATCH(DS$1,Products,0),2)="Cores",IF(HostBuild[Use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5" s="59">
        <f>IFERROR(IF(FIND(DT$1,$W165)&gt;0,IF(INDEX([1]!Product_Pricing_Table[#Data],MATCH(DT$1,Products,0),2)="Cores",IF(HostBuild[Use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5" s="59">
        <f>IFERROR(IF(FIND(DU$1,$W165)&gt;0,IF(INDEX([1]!Product_Pricing_Table[#Data],MATCH(DU$1,Products,0),2)="Cores",IF(HostBuild[Use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5" s="59">
        <f>IFERROR(IF(FIND(DV$1,$W165)&gt;0,IF(INDEX([1]!Product_Pricing_Table[#Data],MATCH(DV$1,Products,0),2)="Cores",IF(HostBuild[Use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5" s="59">
        <f>IFERROR(IF(FIND(DW$1,$W165)&gt;0,IF(INDEX([1]!Product_Pricing_Table[#Data],MATCH(DW$1,Products,0),2)="Cores",IF(HostBuild[Use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5" s="59">
        <f>IFERROR(IF(FIND(DX$1,$W165)&gt;0,IF(INDEX([1]!Product_Pricing_Table[#Data],MATCH(DX$1,Products,0),2)="Cores",IF(HostBuild[Use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5" s="59">
        <f>IFERROR(IF(FIND(DY$1,$W165)&gt;0,IF(INDEX([1]!Product_Pricing_Table[#Data],MATCH(DY$1,Products,0),2)="Cores",IF(HostBuild[Use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5" s="59">
        <f>IFERROR(IF(FIND(DZ$1,$W165)&gt;0,IF(INDEX([1]!Product_Pricing_Table[#Data],MATCH(DZ$1,Products,0),2)="Cores",IF(HostBuild[Use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5" s="59">
        <f>IFERROR(IF(FIND(EA$1,$W165)&gt;0,IF(INDEX([1]!Product_Pricing_Table[#Data],MATCH(EA$1,Products,0),2)="Cores",IF(HostBuild[Use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5" s="59">
        <f>IFERROR(IF(FIND(EB$1,$W165)&gt;0,IF(INDEX([1]!Product_Pricing_Table[#Data],MATCH(EB$1,Products,0),2)="Cores",IF(HostBuild[Use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5" s="60">
        <f>IFERROR(IF(FIND(EC$1,$W165)&gt;0,IF(INDEX([1]!Product_Pricing_Table[#Data],MATCH(EC$1,Products,0),2)="Cores",IF(HostBuild[Use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5" s="59">
        <f>IFERROR(IF(FIND(ED$1,$W165)&gt;0,IF(INDEX([1]!Product_Pricing_Table[#Data],MATCH(ED$1,Products,0),2)="Cores",IF(HostBuild[Use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5" s="59">
        <f>IFERROR(IF(FIND(EE$1,$W165)&gt;0,IF(INDEX([1]!Product_Pricing_Table[#Data],MATCH(EE$1,Products,0),2)="Cores",IF(HostBuild[Use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5" s="59">
        <f>IFERROR(IF(FIND(EF$1,$W165)&gt;0,IF(INDEX([1]!Product_Pricing_Table[#Data],MATCH(EF$1,Products,0),2)="Cores",IF(HostBuild[Use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5" s="59">
        <f>IFERROR(IF(FIND(EG$1,$W165)&gt;0,IF(INDEX([1]!Product_Pricing_Table[#Data],MATCH(EG$1,Products,0),2)="Cores",IF(HostBuild[Use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5" s="59">
        <f>IFERROR(IF(FIND(EH$1,$W165)&gt;0,IF(INDEX([1]!Product_Pricing_Table[#Data],MATCH(EH$1,Products,0),2)="Cores",IF(HostBuild[Use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5" s="59">
        <f>IFERROR(IF(FIND(EI$1,$W165)&gt;0,IF(INDEX([1]!Product_Pricing_Table[#Data],MATCH(EI$1,Products,0),2)="Cores",IF(HostBuild[Use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5" s="59">
        <f>IFERROR(IF(FIND(EJ$1,$W165)&gt;0,IF(INDEX([1]!Product_Pricing_Table[#Data],MATCH(EJ$1,Products,0),2)="Cores",IF(HostBuild[Use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5" s="60">
        <f>IFERROR(IF(FIND(EK$1,$W165)&gt;0,IF(INDEX([1]!Product_Pricing_Table[#Data],MATCH(EK$1,Products,0),2)="Cores",IF(HostBuild[Use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5" s="61"/>
      <c r="EM165" s="62"/>
      <c r="EN165" s="63"/>
      <c r="EO165" s="64">
        <f>IF(OR(ISBLANK(HostBuild[Alias]),HostBuild[Server Tier]="",),0,IF(HostBuild[Server Tier]="SafeNet",Safenet_PSE_PL600+HostBuild[Network Cost],IF(HostBuild[Server Tier]="VMware",HostBuild[New VMware (Adjusted)]+HostBuild[Initial Server Cost],IF(HostBuild[Server Tier]="XI52",IBM_DIA_XI52,HostBuild[Initial Server Cost]))))</f>
        <v>829</v>
      </c>
      <c r="EP165"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5" s="132">
        <f>(HostBuild[Archive
Full (GB)]+HostBuild[Archive
Incr (GB)])*Storage_DC_Dist_Tape_2014</f>
        <v>0</v>
      </c>
      <c r="ER165" s="132">
        <f>IF(ISNUMBER(HostBuild[Server HW Costs
(Monthly)]),SUM(HostBuild[[#This Row],[Server HW Costs
(Monthly)]:[Tape Costs
(Monthly)]]),0)</f>
        <v>829</v>
      </c>
      <c r="ES165" s="65">
        <f>HostBuild[Software Costs
'[Year 1']
(Monthly)]+HostBuild[Total Hardware Costs
(Monthly)]</f>
        <v>829</v>
      </c>
      <c r="ET165" s="65">
        <f>IFERROR(IF(FIND("Safenet",HostBuild[Server Model]),Safenet_PSE_PL600_Maint,0),0)+IFERROR(IF(FIND("XI52",HostBuild[Server Model]),IBM_DIA_XI52_Maint,0),0)+HostBuild[Software Costs
'[After Year 1']
(Monthly)]+HostBuild[Total Hardware Costs
(Monthly)]</f>
        <v>829</v>
      </c>
      <c r="EU165" s="66">
        <f>SUM(HostBuild[[#This Row],[Server Cost Breakdown]:[Network Cost]])</f>
        <v>829</v>
      </c>
      <c r="EV165" s="67">
        <f>IF(HostBuild[Existing Server?]="Yes - Inside this BoM",0,SUMIF(HostBuild[Alias],HostBuild[Alias],HostBuild[CPU])+SUMIF(HostBuild[Alias],HostBuild[Alias],HostBuild[Existing CPUs]))</f>
        <v>1</v>
      </c>
      <c r="EW165" s="67">
        <f>IF(HostBuild[Existing Server?]="Yes - Inside this BoM",0,SUMIF(HostBuild[Alias],HostBuild[Alias],HostBuild[Cores 
(Licensed Units)])+SUMIF(HostBuild[Alias],HostBuild[Alias],HostBuild[Existing Cores]))</f>
        <v>2</v>
      </c>
      <c r="EX165" s="67">
        <f>IF(HostBuild[Existing Server?]="Yes - Inside this BoM",0,SUMIF(HostBuild[Alias],HostBuild[Alias],HostBuild[RAM 
(GB)])+SUMIF(HostBuild[Alias],HostBuild[Alias],HostBuild[Existing RAM (GB)]))</f>
        <v>16</v>
      </c>
      <c r="EY165"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5"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5"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5"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5" s="66">
        <f>IF(ISBLANK(HostBuild[Server Model]),0,IF(HostBuild[Server Tier]="VMware",0,VLOOKUP(HostBuild[Server Tier],[1]!ServerTierRates[#Data],2,0))*HostBuild[CPU]*IF(AND(HostBuild[Server Type]="pSeries",HostBuild[Virtual Platform Storage Type]="Cloud-SAN"),0.25,1))</f>
        <v>829</v>
      </c>
      <c r="FD165" s="66">
        <f>0</f>
        <v>0</v>
      </c>
      <c r="FE165" s="66">
        <f>IF(HostBuild[Server Type]="VMware",HostBuild[RAM 
(GB)]*IF(ISERROR(FIND("DevCloud", HostBuild[Server Model])&gt;0),vRAM_per_vCPU_2014_Monthly,vRAM_per_vCPU_2014_Daily*30),0)</f>
        <v>0</v>
      </c>
      <c r="FF165"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65"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5" s="69">
        <f>IF(HostBuild[Server Tier]="VMware",0,IF(LEFT(HostBuild[Existing Server?],3)="Yes",0,IF(OR(HostBuild[Server Type]="Sun",HostBuild[Server Type]="pSeries"),Support_Direct_Server_Sun_per_OS_2014,IF(HostBuild[Server Type]="x86",Support_Direct_Server_x86_Wintel_per_OS_2014,0))))</f>
        <v>0</v>
      </c>
      <c r="FI165"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6" spans="1:165" hidden="1">
      <c r="A166" s="122" t="s">
        <v>53</v>
      </c>
      <c r="B166" s="36"/>
      <c r="C166" s="36"/>
      <c r="D166" s="36"/>
      <c r="E166" s="137"/>
      <c r="F166" s="137"/>
      <c r="G166" s="103"/>
      <c r="H166" s="103"/>
      <c r="I166" s="138"/>
      <c r="J166" s="137"/>
      <c r="K166" s="137"/>
      <c r="L166" s="137"/>
      <c r="M166" s="103" t="e">
        <f ca="1">IF(rngIsDate(HostBuild[CTO Acceptance]),"Y","N")</f>
        <v>#NAME?</v>
      </c>
      <c r="N166" s="123" t="s">
        <v>3</v>
      </c>
      <c r="O166" s="39"/>
      <c r="P166" s="39"/>
      <c r="Q166" s="123" t="s">
        <v>52</v>
      </c>
      <c r="R166" s="126" t="str">
        <f>IF(NOT(ISBLANK(HostBuild[Env Label])),IFERROR(VLOOKUP(HostBuild[Env Label],[1]!tEnv[#Data],3,FALSE),""),"")</f>
        <v/>
      </c>
      <c r="S166" s="104"/>
      <c r="T166" s="40"/>
      <c r="U166" s="105"/>
      <c r="V166" s="123" t="s">
        <v>41</v>
      </c>
      <c r="W166" s="123" t="s">
        <v>43</v>
      </c>
      <c r="X166" s="123" t="s">
        <v>57</v>
      </c>
      <c r="Y166" s="123" t="s">
        <v>188</v>
      </c>
      <c r="Z166" s="126" t="str">
        <f>IF(NOT(ISBLANK(HostBuild[[#This Row],[Product 
(Acronym)]])),CONCATENATE(HostBuild[[#This Row],[Type]],"-",HostBuild[[#This Row],[Product 
(Acronym)]]),"")</f>
        <v>AP-CBOL</v>
      </c>
      <c r="AA166" s="106"/>
      <c r="AB166" s="106" t="s">
        <v>59</v>
      </c>
      <c r="AC166" s="139"/>
      <c r="AD166" s="140"/>
      <c r="AE166" s="140"/>
      <c r="AF166" s="141"/>
      <c r="AG166" s="124"/>
      <c r="AH166" s="107"/>
      <c r="AI166" s="124" t="s">
        <v>390</v>
      </c>
      <c r="AJ166" s="123">
        <f>IF(COUNTIF(HostBuild[Alias],HostBuild[Alias]),1/COUNTIF(HostBuild[Alias],HostBuild[Alias]),0)</f>
        <v>1</v>
      </c>
      <c r="AK166" s="124"/>
      <c r="AL166" s="124"/>
      <c r="AM166" s="44" t="s">
        <v>101</v>
      </c>
      <c r="AN166" s="45" t="str">
        <f>IF(NOT(ISBLANK(HostBuild[Server Model])),VLOOKUP(HostBuild[Server Model],[1]!ServerModelsTier[#Data],2,FALSE),"")</f>
        <v>IBM P-Series Tier 2</v>
      </c>
      <c r="AO166" s="45" t="str">
        <f>IF(NOT(ISBLANK(HostBuild[Server Model])),VLOOKUP(HostBuild[Server Model],[1]!ServerModelsTier[#Data],5,FALSE),"")</f>
        <v>pSeries</v>
      </c>
      <c r="AP166" s="44"/>
      <c r="AQ166" s="44" t="s">
        <v>102</v>
      </c>
      <c r="AR166" s="46">
        <v>1</v>
      </c>
      <c r="AS166" s="108"/>
      <c r="AT166" s="47">
        <v>2</v>
      </c>
      <c r="AU166" s="109">
        <f>IF(IFERROR(FIND("P-Series",HostBuild[Server Tier]),0),CEILING((HostBuild[Existing CPUs]+HostBuild[CPU])*16,8),"")</f>
        <v>16</v>
      </c>
      <c r="AV166" s="48">
        <v>16</v>
      </c>
      <c r="AW166" s="124"/>
      <c r="AX166" s="124"/>
      <c r="AY166" s="124"/>
      <c r="AZ166" s="49"/>
      <c r="BA166" s="124"/>
      <c r="BB166" s="124"/>
      <c r="BC166" s="140"/>
      <c r="BD166" s="124"/>
      <c r="BE166" s="124"/>
      <c r="BF166" s="124"/>
      <c r="BG166" s="124"/>
      <c r="BH166" s="124"/>
      <c r="BI166" s="124"/>
      <c r="BJ166" s="124"/>
      <c r="BK166"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66" s="143"/>
      <c r="BM166" s="129">
        <f>IF(ISNUMBER(HostBuild[Recommended SAN (GB)]),HostBuild[Recommended SAN (GB)])+IF(HostBuild[Additional SAN (GB)]&gt;0,CEILING(HostBuild[Additional SAN (GB)],LUN),-(CEILING(-HostBuild[Additional SAN (GB)],LUN)))</f>
        <v>0</v>
      </c>
      <c r="BN166" s="128"/>
      <c r="BO166" s="129">
        <f>HostBuild[SAN (GB)
NEEDED TODAY]+CEILING(HostBuild[SAN (GB)
RESERVED
DO NOT USE TO BUILD], LUN)</f>
        <v>0</v>
      </c>
      <c r="BP166" s="130"/>
      <c r="BQ166" s="131"/>
      <c r="BR166" s="125" t="s">
        <v>64</v>
      </c>
      <c r="BS166" s="110">
        <f>IF(HostBuild[Existing Server?]&lt;&gt;"Yes - Inside this BoM",IF(ISNUMBER(HostBuild[RAM 
(GB)]),IF(HostBuild[Existing RAM (GB)]+HostBuild[RAM 
(GB)]&gt;0,IF(HostBuild[Virtual Platform Storage Type]="NAS",110+HostBuild[Existing RAM (GB)]+HostBuild[RAM 
(GB)]*1.75,0),0),0),0)</f>
        <v>0</v>
      </c>
      <c r="BT166" s="111"/>
      <c r="BU166" s="112">
        <f>IF(ISNUMBER(HostBuild[Recommended NAS (GB)]),HostBuild[Recommended NAS (GB)])+HostBuild[Additional NAS (GB)]</f>
        <v>0</v>
      </c>
      <c r="BV166" s="144"/>
      <c r="BW166" s="144"/>
      <c r="BX166" s="133">
        <f>IFERROR((HostBuild[SAN (GB)
End-State
DO NOT USE TO BUILD]+HostBuild[SAN (GB) Shared])*25%,"")</f>
        <v>0</v>
      </c>
      <c r="BY166" s="113">
        <f>IFERROR(HostBuild[Archive
Full (GB)]*15%,"")</f>
        <v>0</v>
      </c>
      <c r="BZ166" s="51"/>
      <c r="CA166" s="51"/>
      <c r="CB166" s="52"/>
      <c r="CC166" s="53"/>
      <c r="CD166" s="52"/>
      <c r="CE166" s="145"/>
      <c r="CF166" s="128"/>
      <c r="CG166" s="146"/>
      <c r="CH166" s="147"/>
      <c r="CI166" s="148"/>
      <c r="CJ166" s="57"/>
      <c r="CK166" s="149"/>
      <c r="CL166" s="59">
        <f>IFERROR(IF(FIND(CL$1,$W166)&gt;0,IF(INDEX([1]!Product_Pricing_Table[#Data],MATCH(CL$1,Products,0),2)="Cores",IF(HostBuild[Use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6" s="59">
        <f>IFERROR(IF(FIND(CM$1,$W166)&gt;0,IF(INDEX([1]!Product_Pricing_Table[#Data],MATCH(CM$1,Products,0),2)="Cores",IF(HostBuild[Use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6" s="59">
        <f>IFERROR(IF(FIND(CN$1,$W166)&gt;0,IF(INDEX([1]!Product_Pricing_Table[#Data],MATCH(CN$1,Products,0),2)="Cores",IF(HostBuild[Use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6" s="59">
        <f>IFERROR(IF(FIND(CO$1,$W166)&gt;0,IF(INDEX([1]!Product_Pricing_Table[#Data],MATCH(CO$1,Products,0),2)="Cores",IF(HostBuild[Use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6" s="59">
        <f>IFERROR(IF(FIND(CP$1,$W166)&gt;0,IF(INDEX([1]!Product_Pricing_Table[#Data],MATCH(CP$1,Products,0),2)="Cores",IF(HostBuild[Use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6" s="59">
        <f>IFERROR(IF(FIND(CQ$1,$W166)&gt;0,IF(INDEX([1]!Product_Pricing_Table[#Data],MATCH(CQ$1,Products,0),2)="Cores",IF(HostBuild[Use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6" s="59">
        <f>IFERROR(IF(FIND(CR$1,$W166)&gt;0,IF(INDEX([1]!Product_Pricing_Table[#Data],MATCH(CR$1,Products,0),2)="Cores",IF(HostBuild[Use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6" s="59">
        <f>IFERROR(IF(FIND(CS$1,$W166)&gt;0,IF(INDEX([1]!Product_Pricing_Table[#Data],MATCH(CS$1,Products,0),2)="Cores",IF(HostBuild[Use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6" s="59">
        <f>IFERROR(IF(FIND(CT$1,$W166)&gt;0,IF(INDEX([1]!Product_Pricing_Table[#Data],MATCH(CT$1,Products,0),2)="Cores",IF(HostBuild[Use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6" s="59">
        <f>IFERROR(IF(FIND(CU$1,$W166)&gt;0,IF(INDEX([1]!Product_Pricing_Table[#Data],MATCH(CU$1,Products,0),2)="Cores",IF(HostBuild[Use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6" s="59">
        <f>IFERROR(IF(FIND(CV$1,$W166)&gt;0,IF(INDEX([1]!Product_Pricing_Table[#Data],MATCH(CV$1,Products,0),2)="Cores",IF(HostBuild[Use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6" s="59">
        <f>IFERROR(IF(FIND(CW$1,$W166)&gt;0,IF(INDEX([1]!Product_Pricing_Table[#Data],MATCH(CW$1,Products,0),2)="Cores",IF(HostBuild[Use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6" s="59">
        <f>IFERROR(IF(FIND(CX$1,$W166)&gt;0,IF(INDEX([1]!Product_Pricing_Table[#Data],MATCH(CX$1,Products,0),2)="Cores",IF(HostBuild[Use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6" s="59">
        <f>IFERROR(IF(FIND(CY$1,$W166)&gt;0,IF(INDEX([1]!Product_Pricing_Table[#Data],MATCH(CY$1,Products,0),2)="Cores",IF(HostBuild[Use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6" s="59">
        <f>IFERROR(IF(FIND(CZ$1,$W166)&gt;0,IF(INDEX([1]!Product_Pricing_Table[#Data],MATCH(CZ$1,Products,0),2)="Cores",IF(HostBuild[Use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6" s="59">
        <f>IFERROR(IF(FIND(DA$1,$W166)&gt;0,IF(INDEX([1]!Product_Pricing_Table[#Data],MATCH(DA$1,Products,0),2)="Cores",IF(HostBuild[Use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6" s="59">
        <f>IFERROR(IF(FIND(DB$1,$W166)&gt;0,IF(INDEX([1]!Product_Pricing_Table[#Data],MATCH(DB$1,Products,0),2)="Cores",IF(HostBuild[Use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6" s="59">
        <f>IFERROR(IF(FIND(DC$1,$W166)&gt;0,IF(INDEX([1]!Product_Pricing_Table[#Data],MATCH(DC$1,Products,0),2)="Cores",IF(HostBuild[Use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6" s="59">
        <f>IFERROR(IF(FIND(DD$1,$W166)&gt;0,IF(INDEX([1]!Product_Pricing_Table[#Data],MATCH(DD$1,Products,0),2)="Cores",IF(HostBuild[Use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6" s="59">
        <f>IFERROR(IF(FIND(DE$1,$W166)&gt;0,IF(INDEX([1]!Product_Pricing_Table[#Data],MATCH(DE$1,Products,0),2)="Cores",IF(HostBuild[Use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6" s="60">
        <f>IFERROR(IF(FIND(DF$1,$W166)&gt;0,IF(INDEX([1]!Product_Pricing_Table[#Data],MATCH(DF$1,Products,0),2)="Cores",IF(HostBuild[Use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6" s="60">
        <f>IFERROR(IF(FIND(DG$1,$W166)&gt;0,IF(INDEX([1]!Product_Pricing_Table[#Data],MATCH(DG$1,Products,0),2)="Cores",IF(HostBuild[Use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6" s="59">
        <f>IFERROR(IF(FIND(DH$1,$W166)&gt;0,IF(INDEX([1]!Product_Pricing_Table[#Data],MATCH(DH$1,Products,0),2)="Cores",IF(HostBuild[Use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6" s="60">
        <f>IFERROR(IF(FIND(DI$1,$W166)&gt;0,IF(INDEX([1]!Product_Pricing_Table[#Data],MATCH(DI$1,Products,0),2)="Cores",IF(HostBuild[Use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6" s="59">
        <f>IFERROR(IF(FIND(DJ$1,$W166)&gt;0,IF(INDEX([1]!Product_Pricing_Table[#Data],MATCH(DJ$1,Products,0),2)="Cores",IF(HostBuild[Use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6" s="59">
        <f>IFERROR(IF(FIND(DK$1,$W166)&gt;0,IF(INDEX([1]!Product_Pricing_Table[#Data],MATCH(DK$1,Products,0),2)="Cores",IF(HostBuild[Use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6" s="59">
        <f>IFERROR(IF(FIND(DL$1,$W166)&gt;0,IF(INDEX([1]!Product_Pricing_Table[#Data],MATCH(DL$1,Products,0),2)="Cores",IF(HostBuild[Use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6" s="59">
        <f>IFERROR(IF(FIND(DM$1,$W166)&gt;0,IF(INDEX([1]!Product_Pricing_Table[#Data],MATCH(DM$1,Products,0),2)="Cores",IF(HostBuild[Use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6" s="59">
        <f>IFERROR(IF(FIND(DN$1,$W166)&gt;0,IF(INDEX([1]!Product_Pricing_Table[#Data],MATCH(DN$1,Products,0),2)="Cores",IF(HostBuild[Use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6" s="59">
        <f>IFERROR(IF(FIND(DO$1,$W166)&gt;0,IF(INDEX([1]!Product_Pricing_Table[#Data],MATCH(DO$1,Products,0),2)="Cores",IF(HostBuild[Use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6" s="59">
        <f>IFERROR(IF(FIND(DP$1,$W166)&gt;0,IF(INDEX([1]!Product_Pricing_Table[#Data],MATCH(DP$1,Products,0),2)="Cores",IF(HostBuild[Use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6" s="59">
        <f>IFERROR(IF(FIND(DQ$1,$W166)&gt;0,IF(INDEX([1]!Product_Pricing_Table[#Data],MATCH(DQ$1,Products,0),2)="Cores",IF(HostBuild[Use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6" s="59">
        <f>IFERROR(IF(FIND(DR$1,$W166)&gt;0,IF(INDEX([1]!Product_Pricing_Table[#Data],MATCH(DR$1,Products,0),2)="Cores",IF(HostBuild[Use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6" s="59">
        <f>IFERROR(IF(FIND(DS$1,$W166)&gt;0,IF(INDEX([1]!Product_Pricing_Table[#Data],MATCH(DS$1,Products,0),2)="Cores",IF(HostBuild[Use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6" s="59">
        <f>IFERROR(IF(FIND(DT$1,$W166)&gt;0,IF(INDEX([1]!Product_Pricing_Table[#Data],MATCH(DT$1,Products,0),2)="Cores",IF(HostBuild[Use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6" s="59">
        <f>IFERROR(IF(FIND(DU$1,$W166)&gt;0,IF(INDEX([1]!Product_Pricing_Table[#Data],MATCH(DU$1,Products,0),2)="Cores",IF(HostBuild[Use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6" s="59">
        <f>IFERROR(IF(FIND(DV$1,$W166)&gt;0,IF(INDEX([1]!Product_Pricing_Table[#Data],MATCH(DV$1,Products,0),2)="Cores",IF(HostBuild[Use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6" s="59">
        <f>IFERROR(IF(FIND(DW$1,$W166)&gt;0,IF(INDEX([1]!Product_Pricing_Table[#Data],MATCH(DW$1,Products,0),2)="Cores",IF(HostBuild[Use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6" s="59">
        <f>IFERROR(IF(FIND(DX$1,$W166)&gt;0,IF(INDEX([1]!Product_Pricing_Table[#Data],MATCH(DX$1,Products,0),2)="Cores",IF(HostBuild[Use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6" s="59">
        <f>IFERROR(IF(FIND(DY$1,$W166)&gt;0,IF(INDEX([1]!Product_Pricing_Table[#Data],MATCH(DY$1,Products,0),2)="Cores",IF(HostBuild[Use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6" s="59">
        <f>IFERROR(IF(FIND(DZ$1,$W166)&gt;0,IF(INDEX([1]!Product_Pricing_Table[#Data],MATCH(DZ$1,Products,0),2)="Cores",IF(HostBuild[Use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6" s="59">
        <f>IFERROR(IF(FIND(EA$1,$W166)&gt;0,IF(INDEX([1]!Product_Pricing_Table[#Data],MATCH(EA$1,Products,0),2)="Cores",IF(HostBuild[Use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6" s="59">
        <f>IFERROR(IF(FIND(EB$1,$W166)&gt;0,IF(INDEX([1]!Product_Pricing_Table[#Data],MATCH(EB$1,Products,0),2)="Cores",IF(HostBuild[Use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6" s="60">
        <f>IFERROR(IF(FIND(EC$1,$W166)&gt;0,IF(INDEX([1]!Product_Pricing_Table[#Data],MATCH(EC$1,Products,0),2)="Cores",IF(HostBuild[Use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6" s="59">
        <f>IFERROR(IF(FIND(ED$1,$W166)&gt;0,IF(INDEX([1]!Product_Pricing_Table[#Data],MATCH(ED$1,Products,0),2)="Cores",IF(HostBuild[Use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6" s="59">
        <f>IFERROR(IF(FIND(EE$1,$W166)&gt;0,IF(INDEX([1]!Product_Pricing_Table[#Data],MATCH(EE$1,Products,0),2)="Cores",IF(HostBuild[Use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6" s="59">
        <f>IFERROR(IF(FIND(EF$1,$W166)&gt;0,IF(INDEX([1]!Product_Pricing_Table[#Data],MATCH(EF$1,Products,0),2)="Cores",IF(HostBuild[Use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6" s="59">
        <f>IFERROR(IF(FIND(EG$1,$W166)&gt;0,IF(INDEX([1]!Product_Pricing_Table[#Data],MATCH(EG$1,Products,0),2)="Cores",IF(HostBuild[Use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6" s="59">
        <f>IFERROR(IF(FIND(EH$1,$W166)&gt;0,IF(INDEX([1]!Product_Pricing_Table[#Data],MATCH(EH$1,Products,0),2)="Cores",IF(HostBuild[Use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6" s="59">
        <f>IFERROR(IF(FIND(EI$1,$W166)&gt;0,IF(INDEX([1]!Product_Pricing_Table[#Data],MATCH(EI$1,Products,0),2)="Cores",IF(HostBuild[Use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6" s="59">
        <f>IFERROR(IF(FIND(EJ$1,$W166)&gt;0,IF(INDEX([1]!Product_Pricing_Table[#Data],MATCH(EJ$1,Products,0),2)="Cores",IF(HostBuild[Use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6" s="60">
        <f>IFERROR(IF(FIND(EK$1,$W166)&gt;0,IF(INDEX([1]!Product_Pricing_Table[#Data],MATCH(EK$1,Products,0),2)="Cores",IF(HostBuild[Use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6" s="61"/>
      <c r="EM166" s="62"/>
      <c r="EN166" s="150"/>
      <c r="EO166" s="64">
        <f>IF(OR(ISBLANK(HostBuild[Alias]),HostBuild[Server Tier]="",),0,IF(HostBuild[Server Tier]="SafeNet",Safenet_PSE_PL600+HostBuild[Network Cost],IF(HostBuild[Server Tier]="VMware",HostBuild[New VMware (Adjusted)]+HostBuild[Initial Server Cost],IF(HostBuild[Server Tier]="XI52",IBM_DIA_XI52,HostBuild[Initial Server Cost]))))</f>
        <v>829</v>
      </c>
      <c r="EP166" s="151">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6" s="151">
        <f>(HostBuild[Archive
Full (GB)]+HostBuild[Archive
Incr (GB)])*Storage_DC_Dist_Tape_2014</f>
        <v>0</v>
      </c>
      <c r="ER166" s="151">
        <f>IF(ISNUMBER(HostBuild[Server HW Costs
(Monthly)]),SUM(HostBuild[[#This Row],[Server HW Costs
(Monthly)]:[Tape Costs
(Monthly)]]),0)</f>
        <v>829</v>
      </c>
      <c r="ES166" s="152">
        <f>HostBuild[Software Costs
'[Year 1']
(Monthly)]+HostBuild[Total Hardware Costs
(Monthly)]</f>
        <v>829</v>
      </c>
      <c r="ET166" s="152">
        <f>IFERROR(IF(FIND("Safenet",HostBuild[Server Model]),Safenet_PSE_PL600_Maint,0),0)+IFERROR(IF(FIND("XI52",HostBuild[Server Model]),IBM_DIA_XI52_Maint,0),0)+HostBuild[Software Costs
'[After Year 1']
(Monthly)]+HostBuild[Total Hardware Costs
(Monthly)]</f>
        <v>829</v>
      </c>
      <c r="EU166" s="153">
        <f>SUM(HostBuild[[#This Row],[Server Cost Breakdown]:[Network Cost]])</f>
        <v>829</v>
      </c>
      <c r="EV166" s="154">
        <f>IF(HostBuild[Existing Server?]="Yes - Inside this BoM",0,SUMIF(HostBuild[Alias],HostBuild[Alias],HostBuild[CPU])+SUMIF(HostBuild[Alias],HostBuild[Alias],HostBuild[Existing CPUs]))</f>
        <v>1</v>
      </c>
      <c r="EW166" s="154">
        <f>IF(HostBuild[Existing Server?]="Yes - Inside this BoM",0,SUMIF(HostBuild[Alias],HostBuild[Alias],HostBuild[Cores 
(Licensed Units)])+SUMIF(HostBuild[Alias],HostBuild[Alias],HostBuild[Existing Cores]))</f>
        <v>2</v>
      </c>
      <c r="EX166" s="154">
        <f>IF(HostBuild[Existing Server?]="Yes - Inside this BoM",0,SUMIF(HostBuild[Alias],HostBuild[Alias],HostBuild[RAM 
(GB)])+SUMIF(HostBuild[Alias],HostBuild[Alias],HostBuild[Existing RAM (GB)]))</f>
        <v>16</v>
      </c>
      <c r="EY166" s="153">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6" s="155">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6" s="153">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6" s="153">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6" s="153">
        <f>IF(ISBLANK(HostBuild[Server Model]),0,IF(HostBuild[Server Tier]="VMware",0,VLOOKUP(HostBuild[Server Tier],[1]!ServerTierRates[#Data],2,0))*HostBuild[CPU]*IF(AND(HostBuild[Server Type]="pSeries",HostBuild[Virtual Platform Storage Type]="Cloud-SAN"),0.25,1))</f>
        <v>829</v>
      </c>
      <c r="FD166" s="153">
        <f>0</f>
        <v>0</v>
      </c>
      <c r="FE166" s="153">
        <f>IF(HostBuild[Server Type]="VMware",HostBuild[RAM 
(GB)]*IF(ISERROR(FIND("DevCloud", HostBuild[Server Model])&gt;0),vRAM_per_vCPU_2014_Monthly,vRAM_per_vCPU_2014_Daily*30),0)</f>
        <v>0</v>
      </c>
      <c r="FF166" s="153">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66" s="153">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6" s="156">
        <f>IF(HostBuild[Server Tier]="VMware",0,IF(LEFT(HostBuild[Existing Server?],3)="Yes",0,IF(OR(HostBuild[Server Type]="Sun",HostBuild[Server Type]="pSeries"),Support_Direct_Server_Sun_per_OS_2014,IF(HostBuild[Server Type]="x86",Support_Direct_Server_x86_Wintel_per_OS_2014,0))))</f>
        <v>0</v>
      </c>
      <c r="FI166" s="155">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7" spans="1:165" hidden="1">
      <c r="A167" s="122"/>
      <c r="B167" s="36"/>
      <c r="C167" s="36"/>
      <c r="D167" s="36"/>
      <c r="E167" s="37"/>
      <c r="F167" s="37"/>
      <c r="G167" s="103"/>
      <c r="H167" s="103"/>
      <c r="I167" s="38"/>
      <c r="J167" s="37"/>
      <c r="K167" s="37"/>
      <c r="L167" s="37"/>
      <c r="M167" s="103" t="e">
        <f ca="1">IF(rngIsDate(HostBuild[CTO Acceptance]),"Y","N")</f>
        <v>#NAME?</v>
      </c>
      <c r="N167" s="123"/>
      <c r="O167" s="39"/>
      <c r="P167" s="39"/>
      <c r="Q167" s="123"/>
      <c r="R167" s="126" t="str">
        <f>IF(NOT(ISBLANK(HostBuild[Env Label])),IFERROR(VLOOKUP(HostBuild[Env Label],[1]!tEnv[#Data],3,FALSE),""),"")</f>
        <v/>
      </c>
      <c r="S167" s="104"/>
      <c r="T167" s="40"/>
      <c r="U167" s="105"/>
      <c r="V167" s="123"/>
      <c r="W167" s="123"/>
      <c r="X167" s="123"/>
      <c r="Y167" s="123"/>
      <c r="Z167" s="126" t="str">
        <f>IF(NOT(ISBLANK(HostBuild[[#This Row],[Product 
(Acronym)]])),CONCATENATE(HostBuild[[#This Row],[Type]],"-",HostBuild[[#This Row],[Product 
(Acronym)]]),"")</f>
        <v/>
      </c>
      <c r="AA167" s="106"/>
      <c r="AB167" s="106"/>
      <c r="AC167" s="41"/>
      <c r="AD167" s="42"/>
      <c r="AE167" s="42"/>
      <c r="AF167" s="43"/>
      <c r="AG167" s="124"/>
      <c r="AH167" s="107"/>
      <c r="AI167" s="124"/>
      <c r="AJ167" s="123">
        <f>IF(COUNTIF(HostBuild[Alias],HostBuild[Alias]),1/COUNTIF(HostBuild[Alias],HostBuild[Alias]),0)</f>
        <v>0</v>
      </c>
      <c r="AK167" s="124"/>
      <c r="AL167" s="124"/>
      <c r="AM167" s="44"/>
      <c r="AN167" s="45" t="str">
        <f>IF(NOT(ISBLANK(HostBuild[Server Model])),VLOOKUP(HostBuild[Server Model],[1]!ServerModelsTier[#Data],2,FALSE),"")</f>
        <v/>
      </c>
      <c r="AO167" s="45" t="str">
        <f>IF(NOT(ISBLANK(HostBuild[Server Model])),VLOOKUP(HostBuild[Server Model],[1]!ServerModelsTier[#Data],5,FALSE),"")</f>
        <v/>
      </c>
      <c r="AP167" s="44"/>
      <c r="AQ167" s="44"/>
      <c r="AR167" s="46"/>
      <c r="AS167" s="108"/>
      <c r="AT167" s="47"/>
      <c r="AU167" s="109" t="str">
        <f>IF(IFERROR(FIND("P-Series",HostBuild[Server Tier]),0),CEILING((HostBuild[Existing CPUs]+HostBuild[CPU])*16,8),"")</f>
        <v/>
      </c>
      <c r="AV167" s="48"/>
      <c r="AW167" s="124"/>
      <c r="AX167" s="124"/>
      <c r="AY167" s="124"/>
      <c r="AZ167" s="49"/>
      <c r="BA167" s="124"/>
      <c r="BB167" s="124"/>
      <c r="BC167" s="42"/>
      <c r="BD167" s="124"/>
      <c r="BE167" s="124"/>
      <c r="BF167" s="124"/>
      <c r="BG167" s="124"/>
      <c r="BH167" s="124"/>
      <c r="BI167" s="124"/>
      <c r="BJ167" s="124"/>
      <c r="BK167"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67" s="127"/>
      <c r="BM167" s="129">
        <f>IF(ISNUMBER(HostBuild[Recommended SAN (GB)]),HostBuild[Recommended SAN (GB)])+IF(HostBuild[Additional SAN (GB)]&gt;0,CEILING(HostBuild[Additional SAN (GB)],LUN),-(CEILING(-HostBuild[Additional SAN (GB)],LUN)))</f>
        <v>0</v>
      </c>
      <c r="BN167" s="128"/>
      <c r="BO167" s="129">
        <f>HostBuild[SAN (GB)
NEEDED TODAY]+CEILING(HostBuild[SAN (GB)
RESERVED
DO NOT USE TO BUILD], LUN)</f>
        <v>0</v>
      </c>
      <c r="BP167" s="130"/>
      <c r="BQ167" s="131"/>
      <c r="BR167" s="125"/>
      <c r="BS167" s="110">
        <f>IF(HostBuild[Existing Server?]&lt;&gt;"Yes - Inside this BoM",IF(ISNUMBER(HostBuild[RAM 
(GB)]),IF(HostBuild[Existing RAM (GB)]+HostBuild[RAM 
(GB)]&gt;0,IF(HostBuild[Virtual Platform Storage Type]="NAS",110+HostBuild[Existing RAM (GB)]+HostBuild[RAM 
(GB)]*1.75,0),0),0),0)</f>
        <v>0</v>
      </c>
      <c r="BT167" s="111"/>
      <c r="BU167" s="112">
        <f>IF(ISNUMBER(HostBuild[Recommended NAS (GB)]),HostBuild[Recommended NAS (GB)])+HostBuild[Additional NAS (GB)]</f>
        <v>0</v>
      </c>
      <c r="BV167" s="50"/>
      <c r="BW167" s="50"/>
      <c r="BX167" s="133">
        <f>IFERROR((HostBuild[SAN (GB)
End-State
DO NOT USE TO BUILD]+HostBuild[SAN (GB) Shared])*25%,"")</f>
        <v>0</v>
      </c>
      <c r="BY167" s="113">
        <f>IFERROR(HostBuild[Archive
Full (GB)]*15%,"")</f>
        <v>0</v>
      </c>
      <c r="BZ167" s="51"/>
      <c r="CA167" s="51"/>
      <c r="CB167" s="52"/>
      <c r="CC167" s="53"/>
      <c r="CD167" s="52"/>
      <c r="CE167" s="54"/>
      <c r="CF167" s="128"/>
      <c r="CG167" s="114"/>
      <c r="CH167" s="55"/>
      <c r="CI167" s="56"/>
      <c r="CJ167" s="57"/>
      <c r="CK167" s="58"/>
      <c r="CL167" s="59">
        <f>IFERROR(IF(FIND(CL$1,$W167)&gt;0,IF(INDEX([1]!Product_Pricing_Table[#Data],MATCH(CL$1,Products,0),2)="Cores",IF(HostBuild[Use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7" s="59">
        <f>IFERROR(IF(FIND(CM$1,$W167)&gt;0,IF(INDEX([1]!Product_Pricing_Table[#Data],MATCH(CM$1,Products,0),2)="Cores",IF(HostBuild[Use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7" s="59">
        <f>IFERROR(IF(FIND(CN$1,$W167)&gt;0,IF(INDEX([1]!Product_Pricing_Table[#Data],MATCH(CN$1,Products,0),2)="Cores",IF(HostBuild[Use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7" s="59">
        <f>IFERROR(IF(FIND(CO$1,$W167)&gt;0,IF(INDEX([1]!Product_Pricing_Table[#Data],MATCH(CO$1,Products,0),2)="Cores",IF(HostBuild[Use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7" s="59">
        <f>IFERROR(IF(FIND(CP$1,$W167)&gt;0,IF(INDEX([1]!Product_Pricing_Table[#Data],MATCH(CP$1,Products,0),2)="Cores",IF(HostBuild[Use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7" s="59">
        <f>IFERROR(IF(FIND(CQ$1,$W167)&gt;0,IF(INDEX([1]!Product_Pricing_Table[#Data],MATCH(CQ$1,Products,0),2)="Cores",IF(HostBuild[Use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7" s="59">
        <f>IFERROR(IF(FIND(CR$1,$W167)&gt;0,IF(INDEX([1]!Product_Pricing_Table[#Data],MATCH(CR$1,Products,0),2)="Cores",IF(HostBuild[Use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7" s="59">
        <f>IFERROR(IF(FIND(CS$1,$W167)&gt;0,IF(INDEX([1]!Product_Pricing_Table[#Data],MATCH(CS$1,Products,0),2)="Cores",IF(HostBuild[Use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7" s="59">
        <f>IFERROR(IF(FIND(CT$1,$W167)&gt;0,IF(INDEX([1]!Product_Pricing_Table[#Data],MATCH(CT$1,Products,0),2)="Cores",IF(HostBuild[Use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7" s="59">
        <f>IFERROR(IF(FIND(CU$1,$W167)&gt;0,IF(INDEX([1]!Product_Pricing_Table[#Data],MATCH(CU$1,Products,0),2)="Cores",IF(HostBuild[Use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7" s="59">
        <f>IFERROR(IF(FIND(CV$1,$W167)&gt;0,IF(INDEX([1]!Product_Pricing_Table[#Data],MATCH(CV$1,Products,0),2)="Cores",IF(HostBuild[Use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7" s="59">
        <f>IFERROR(IF(FIND(CW$1,$W167)&gt;0,IF(INDEX([1]!Product_Pricing_Table[#Data],MATCH(CW$1,Products,0),2)="Cores",IF(HostBuild[Use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7" s="59">
        <f>IFERROR(IF(FIND(CX$1,$W167)&gt;0,IF(INDEX([1]!Product_Pricing_Table[#Data],MATCH(CX$1,Products,0),2)="Cores",IF(HostBuild[Use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7" s="59">
        <f>IFERROR(IF(FIND(CY$1,$W167)&gt;0,IF(INDEX([1]!Product_Pricing_Table[#Data],MATCH(CY$1,Products,0),2)="Cores",IF(HostBuild[Use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7" s="59">
        <f>IFERROR(IF(FIND(CZ$1,$W167)&gt;0,IF(INDEX([1]!Product_Pricing_Table[#Data],MATCH(CZ$1,Products,0),2)="Cores",IF(HostBuild[Use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7" s="59">
        <f>IFERROR(IF(FIND(DA$1,$W167)&gt;0,IF(INDEX([1]!Product_Pricing_Table[#Data],MATCH(DA$1,Products,0),2)="Cores",IF(HostBuild[Use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7" s="59">
        <f>IFERROR(IF(FIND(DB$1,$W167)&gt;0,IF(INDEX([1]!Product_Pricing_Table[#Data],MATCH(DB$1,Products,0),2)="Cores",IF(HostBuild[Use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7" s="59">
        <f>IFERROR(IF(FIND(DC$1,$W167)&gt;0,IF(INDEX([1]!Product_Pricing_Table[#Data],MATCH(DC$1,Products,0),2)="Cores",IF(HostBuild[Use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7" s="59">
        <f>IFERROR(IF(FIND(DD$1,$W167)&gt;0,IF(INDEX([1]!Product_Pricing_Table[#Data],MATCH(DD$1,Products,0),2)="Cores",IF(HostBuild[Use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7" s="59">
        <f>IFERROR(IF(FIND(DE$1,$W167)&gt;0,IF(INDEX([1]!Product_Pricing_Table[#Data],MATCH(DE$1,Products,0),2)="Cores",IF(HostBuild[Use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7" s="60">
        <f>IFERROR(IF(FIND(DF$1,$W167)&gt;0,IF(INDEX([1]!Product_Pricing_Table[#Data],MATCH(DF$1,Products,0),2)="Cores",IF(HostBuild[Use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7" s="60">
        <f>IFERROR(IF(FIND(DG$1,$W167)&gt;0,IF(INDEX([1]!Product_Pricing_Table[#Data],MATCH(DG$1,Products,0),2)="Cores",IF(HostBuild[Use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7" s="59">
        <f>IFERROR(IF(FIND(DH$1,$W167)&gt;0,IF(INDEX([1]!Product_Pricing_Table[#Data],MATCH(DH$1,Products,0),2)="Cores",IF(HostBuild[Use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7" s="60">
        <f>IFERROR(IF(FIND(DI$1,$W167)&gt;0,IF(INDEX([1]!Product_Pricing_Table[#Data],MATCH(DI$1,Products,0),2)="Cores",IF(HostBuild[Use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7" s="59">
        <f>IFERROR(IF(FIND(DJ$1,$W167)&gt;0,IF(INDEX([1]!Product_Pricing_Table[#Data],MATCH(DJ$1,Products,0),2)="Cores",IF(HostBuild[Use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7" s="59">
        <f>IFERROR(IF(FIND(DK$1,$W167)&gt;0,IF(INDEX([1]!Product_Pricing_Table[#Data],MATCH(DK$1,Products,0),2)="Cores",IF(HostBuild[Use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7" s="59">
        <f>IFERROR(IF(FIND(DL$1,$W167)&gt;0,IF(INDEX([1]!Product_Pricing_Table[#Data],MATCH(DL$1,Products,0),2)="Cores",IF(HostBuild[Use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7" s="59">
        <f>IFERROR(IF(FIND(DM$1,$W167)&gt;0,IF(INDEX([1]!Product_Pricing_Table[#Data],MATCH(DM$1,Products,0),2)="Cores",IF(HostBuild[Use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7" s="59">
        <f>IFERROR(IF(FIND(DN$1,$W167)&gt;0,IF(INDEX([1]!Product_Pricing_Table[#Data],MATCH(DN$1,Products,0),2)="Cores",IF(HostBuild[Use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7" s="59">
        <f>IFERROR(IF(FIND(DO$1,$W167)&gt;0,IF(INDEX([1]!Product_Pricing_Table[#Data],MATCH(DO$1,Products,0),2)="Cores",IF(HostBuild[Use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7" s="59">
        <f>IFERROR(IF(FIND(DP$1,$W167)&gt;0,IF(INDEX([1]!Product_Pricing_Table[#Data],MATCH(DP$1,Products,0),2)="Cores",IF(HostBuild[Use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7" s="59">
        <f>IFERROR(IF(FIND(DQ$1,$W167)&gt;0,IF(INDEX([1]!Product_Pricing_Table[#Data],MATCH(DQ$1,Products,0),2)="Cores",IF(HostBuild[Use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7" s="59">
        <f>IFERROR(IF(FIND(DR$1,$W167)&gt;0,IF(INDEX([1]!Product_Pricing_Table[#Data],MATCH(DR$1,Products,0),2)="Cores",IF(HostBuild[Use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7" s="59">
        <f>IFERROR(IF(FIND(DS$1,$W167)&gt;0,IF(INDEX([1]!Product_Pricing_Table[#Data],MATCH(DS$1,Products,0),2)="Cores",IF(HostBuild[Use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7" s="59">
        <f>IFERROR(IF(FIND(DT$1,$W167)&gt;0,IF(INDEX([1]!Product_Pricing_Table[#Data],MATCH(DT$1,Products,0),2)="Cores",IF(HostBuild[Use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7" s="59">
        <f>IFERROR(IF(FIND(DU$1,$W167)&gt;0,IF(INDEX([1]!Product_Pricing_Table[#Data],MATCH(DU$1,Products,0),2)="Cores",IF(HostBuild[Use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7" s="59">
        <f>IFERROR(IF(FIND(DV$1,$W167)&gt;0,IF(INDEX([1]!Product_Pricing_Table[#Data],MATCH(DV$1,Products,0),2)="Cores",IF(HostBuild[Use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7" s="59">
        <f>IFERROR(IF(FIND(DW$1,$W167)&gt;0,IF(INDEX([1]!Product_Pricing_Table[#Data],MATCH(DW$1,Products,0),2)="Cores",IF(HostBuild[Use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7" s="59">
        <f>IFERROR(IF(FIND(DX$1,$W167)&gt;0,IF(INDEX([1]!Product_Pricing_Table[#Data],MATCH(DX$1,Products,0),2)="Cores",IF(HostBuild[Use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7" s="59">
        <f>IFERROR(IF(FIND(DY$1,$W167)&gt;0,IF(INDEX([1]!Product_Pricing_Table[#Data],MATCH(DY$1,Products,0),2)="Cores",IF(HostBuild[Use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7" s="59">
        <f>IFERROR(IF(FIND(DZ$1,$W167)&gt;0,IF(INDEX([1]!Product_Pricing_Table[#Data],MATCH(DZ$1,Products,0),2)="Cores",IF(HostBuild[Use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7" s="59">
        <f>IFERROR(IF(FIND(EA$1,$W167)&gt;0,IF(INDEX([1]!Product_Pricing_Table[#Data],MATCH(EA$1,Products,0),2)="Cores",IF(HostBuild[Use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7" s="59">
        <f>IFERROR(IF(FIND(EB$1,$W167)&gt;0,IF(INDEX([1]!Product_Pricing_Table[#Data],MATCH(EB$1,Products,0),2)="Cores",IF(HostBuild[Use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7" s="60">
        <f>IFERROR(IF(FIND(EC$1,$W167)&gt;0,IF(INDEX([1]!Product_Pricing_Table[#Data],MATCH(EC$1,Products,0),2)="Cores",IF(HostBuild[Use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7" s="59">
        <f>IFERROR(IF(FIND(ED$1,$W167)&gt;0,IF(INDEX([1]!Product_Pricing_Table[#Data],MATCH(ED$1,Products,0),2)="Cores",IF(HostBuild[Use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7" s="59">
        <f>IFERROR(IF(FIND(EE$1,$W167)&gt;0,IF(INDEX([1]!Product_Pricing_Table[#Data],MATCH(EE$1,Products,0),2)="Cores",IF(HostBuild[Use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7" s="59">
        <f>IFERROR(IF(FIND(EF$1,$W167)&gt;0,IF(INDEX([1]!Product_Pricing_Table[#Data],MATCH(EF$1,Products,0),2)="Cores",IF(HostBuild[Use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7" s="59">
        <f>IFERROR(IF(FIND(EG$1,$W167)&gt;0,IF(INDEX([1]!Product_Pricing_Table[#Data],MATCH(EG$1,Products,0),2)="Cores",IF(HostBuild[Use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7" s="59">
        <f>IFERROR(IF(FIND(EH$1,$W167)&gt;0,IF(INDEX([1]!Product_Pricing_Table[#Data],MATCH(EH$1,Products,0),2)="Cores",IF(HostBuild[Use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7" s="59">
        <f>IFERROR(IF(FIND(EI$1,$W167)&gt;0,IF(INDEX([1]!Product_Pricing_Table[#Data],MATCH(EI$1,Products,0),2)="Cores",IF(HostBuild[Use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7" s="59">
        <f>IFERROR(IF(FIND(EJ$1,$W167)&gt;0,IF(INDEX([1]!Product_Pricing_Table[#Data],MATCH(EJ$1,Products,0),2)="Cores",IF(HostBuild[Use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7" s="60">
        <f>IFERROR(IF(FIND(EK$1,$W167)&gt;0,IF(INDEX([1]!Product_Pricing_Table[#Data],MATCH(EK$1,Products,0),2)="Cores",IF(HostBuild[Use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7" s="61"/>
      <c r="EM167" s="62"/>
      <c r="EN167" s="63"/>
      <c r="EO167"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67" s="132">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7" s="132">
        <f>(HostBuild[Archive
Full (GB)]+HostBuild[Archive
Incr (GB)])*Storage_DC_Dist_Tape_2014</f>
        <v>0</v>
      </c>
      <c r="ER167" s="132">
        <f>IF(ISNUMBER(HostBuild[Server HW Costs
(Monthly)]),SUM(HostBuild[[#This Row],[Server HW Costs
(Monthly)]:[Tape Costs
(Monthly)]]),0)</f>
        <v>0</v>
      </c>
      <c r="ES167" s="65">
        <f>HostBuild[Software Costs
'[Year 1']
(Monthly)]+HostBuild[Total Hardware Costs
(Monthly)]</f>
        <v>0</v>
      </c>
      <c r="ET167" s="65">
        <f>IFERROR(IF(FIND("Safenet",HostBuild[Server Model]),Safenet_PSE_PL600_Maint,0),0)+IFERROR(IF(FIND("XI52",HostBuild[Server Model]),IBM_DIA_XI52_Maint,0),0)+HostBuild[Software Costs
'[After Year 1']
(Monthly)]+HostBuild[Total Hardware Costs
(Monthly)]</f>
        <v>0</v>
      </c>
      <c r="EU167" s="66">
        <f>SUM(HostBuild[[#This Row],[Server Cost Breakdown]:[Network Cost]])</f>
        <v>0</v>
      </c>
      <c r="EV167" s="67">
        <f>IF(HostBuild[Existing Server?]="Yes - Inside this BoM",0,SUMIF(HostBuild[Alias],HostBuild[Alias],HostBuild[CPU])+SUMIF(HostBuild[Alias],HostBuild[Alias],HostBuild[Existing CPUs]))</f>
        <v>0</v>
      </c>
      <c r="EW167" s="67">
        <f>IF(HostBuild[Existing Server?]="Yes - Inside this BoM",0,SUMIF(HostBuild[Alias],HostBuild[Alias],HostBuild[Cores 
(Licensed Units)])+SUMIF(HostBuild[Alias],HostBuild[Alias],HostBuild[Existing Cores]))</f>
        <v>0</v>
      </c>
      <c r="EX167" s="67">
        <f>IF(HostBuild[Existing Server?]="Yes - Inside this BoM",0,SUMIF(HostBuild[Alias],HostBuild[Alias],HostBuild[RAM 
(GB)])+SUMIF(HostBuild[Alias],HostBuild[Alias],HostBuild[Existing RAM (GB)]))</f>
        <v>0</v>
      </c>
      <c r="EY167" s="66">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7" s="68">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7" s="66">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7" s="66">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7" s="66">
        <f>IF(ISBLANK(HostBuild[Server Model]),0,IF(HostBuild[Server Tier]="VMware",0,VLOOKUP(HostBuild[Server Tier],[1]!ServerTierRates[#Data],2,0))*HostBuild[CPU]*IF(AND(HostBuild[Server Type]="pSeries",HostBuild[Virtual Platform Storage Type]="Cloud-SAN"),0.25,1))</f>
        <v>0</v>
      </c>
      <c r="FD167" s="66">
        <f>0</f>
        <v>0</v>
      </c>
      <c r="FE167" s="66">
        <f>IF(HostBuild[Server Type]="VMware",HostBuild[RAM 
(GB)]*IF(ISERROR(FIND("DevCloud", HostBuild[Server Model])&gt;0),vRAM_per_vCPU_2014_Monthly,vRAM_per_vCPU_2014_Daily*30),0)</f>
        <v>0</v>
      </c>
      <c r="FF167" s="66">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67" s="66">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7" s="69">
        <f>IF(HostBuild[Server Tier]="VMware",0,IF(LEFT(HostBuild[Existing Server?],3)="Yes",0,IF(OR(HostBuild[Server Type]="Sun",HostBuild[Server Type]="pSeries"),Support_Direct_Server_Sun_per_OS_2014,IF(HostBuild[Server Type]="x86",Support_Direct_Server_x86_Wintel_per_OS_2014,0))))</f>
        <v>0</v>
      </c>
      <c r="FI167" s="68">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8" spans="1:165" ht="15.75" hidden="1" thickBot="1">
      <c r="A168" s="122"/>
      <c r="B168" s="36"/>
      <c r="C168" s="36"/>
      <c r="D168" s="36"/>
      <c r="E168" s="137"/>
      <c r="F168" s="137"/>
      <c r="G168" s="103"/>
      <c r="H168" s="103"/>
      <c r="I168" s="138"/>
      <c r="J168" s="137"/>
      <c r="K168" s="137"/>
      <c r="L168" s="137"/>
      <c r="M168" s="103" t="e">
        <f ca="1">IF(rngIsDate(HostBuild[CTO Acceptance]),"Y","N")</f>
        <v>#NAME?</v>
      </c>
      <c r="N168" s="123"/>
      <c r="O168" s="39"/>
      <c r="P168" s="39"/>
      <c r="Q168" s="123"/>
      <c r="R168" s="126" t="str">
        <f>IF(NOT(ISBLANK(HostBuild[Env Label])),IFERROR(VLOOKUP(HostBuild[Env Label],[1]!tEnv[#Data],3,FALSE),""),"")</f>
        <v/>
      </c>
      <c r="S168" s="104"/>
      <c r="T168" s="40"/>
      <c r="U168" s="105"/>
      <c r="V168" s="123"/>
      <c r="W168" s="123"/>
      <c r="X168" s="123"/>
      <c r="Y168" s="123"/>
      <c r="Z168" s="126" t="str">
        <f>IF(NOT(ISBLANK(HostBuild[[#This Row],[Product 
(Acronym)]])),CONCATENATE(HostBuild[[#This Row],[Type]],"-",HostBuild[[#This Row],[Product 
(Acronym)]]),"")</f>
        <v/>
      </c>
      <c r="AA168" s="106"/>
      <c r="AB168" s="106"/>
      <c r="AC168" s="139"/>
      <c r="AD168" s="140"/>
      <c r="AE168" s="140"/>
      <c r="AF168" s="141"/>
      <c r="AG168" s="124"/>
      <c r="AH168" s="107"/>
      <c r="AI168" s="124"/>
      <c r="AJ168" s="123">
        <f>IF(COUNTIF(HostBuild[Alias],HostBuild[Alias]),1/COUNTIF(HostBuild[Alias],HostBuild[Alias]),0)</f>
        <v>0</v>
      </c>
      <c r="AK168" s="124"/>
      <c r="AL168" s="124"/>
      <c r="AM168" s="44"/>
      <c r="AN168" s="45" t="str">
        <f>IF(NOT(ISBLANK(HostBuild[Server Model])),VLOOKUP(HostBuild[Server Model],[1]!ServerModelsTier[#Data],2,FALSE),"")</f>
        <v/>
      </c>
      <c r="AO168" s="45" t="str">
        <f>IF(NOT(ISBLANK(HostBuild[Server Model])),VLOOKUP(HostBuild[Server Model],[1]!ServerModelsTier[#Data],5,FALSE),"")</f>
        <v/>
      </c>
      <c r="AP168" s="44"/>
      <c r="AQ168" s="44"/>
      <c r="AR168" s="46"/>
      <c r="AS168" s="108"/>
      <c r="AT168" s="142"/>
      <c r="AU168" s="109" t="str">
        <f>IF(IFERROR(FIND("P-Series",HostBuild[Server Tier]),0),CEILING((HostBuild[Existing CPUs]+HostBuild[CPU])*16,8),"")</f>
        <v/>
      </c>
      <c r="AV168" s="48"/>
      <c r="AW168" s="124"/>
      <c r="AX168" s="124"/>
      <c r="AY168" s="124"/>
      <c r="AZ168" s="49"/>
      <c r="BA168" s="124"/>
      <c r="BB168" s="124"/>
      <c r="BC168" s="140"/>
      <c r="BD168" s="124"/>
      <c r="BE168" s="124"/>
      <c r="BF168" s="124"/>
      <c r="BG168" s="124"/>
      <c r="BH168" s="124"/>
      <c r="BI168" s="124"/>
      <c r="BJ168" s="124"/>
      <c r="BK168" s="133">
        <f>IF(HostBuild[Existing Server?]&lt;&gt;"Yes - Inside this BoM",IF(ISNUMBER(HostBuild[RAM 
(GB)]),IF(HostBuild[Existing RAM (GB)]+HostBuild[RAM 
(GB)]&gt;0,IF(OR(HostBuild[Server Type]="x86",IFERROR(FIND("SAN", HostBuild[Virtual Platform Storage Type]),FALSE)),CEILING(2*LUN+(HostBuild[Existing RAM (GB)]+HostBuild[RAM 
(GB)]),LUN),0),0),0),0)</f>
        <v>0</v>
      </c>
      <c r="BL168" s="143"/>
      <c r="BM168" s="129">
        <f>IF(ISNUMBER(HostBuild[Recommended SAN (GB)]),HostBuild[Recommended SAN (GB)])+IF(HostBuild[Additional SAN (GB)]&gt;0,CEILING(HostBuild[Additional SAN (GB)],LUN),-(CEILING(-HostBuild[Additional SAN (GB)],LUN)))</f>
        <v>0</v>
      </c>
      <c r="BN168" s="128"/>
      <c r="BO168" s="129">
        <f>HostBuild[SAN (GB)
NEEDED TODAY]+CEILING(HostBuild[SAN (GB)
RESERVED
DO NOT USE TO BUILD], LUN)</f>
        <v>0</v>
      </c>
      <c r="BP168" s="130"/>
      <c r="BQ168" s="131"/>
      <c r="BR168" s="125"/>
      <c r="BS168" s="110">
        <f>IF(HostBuild[Existing Server?]&lt;&gt;"Yes - Inside this BoM",IF(ISNUMBER(HostBuild[RAM 
(GB)]),IF(HostBuild[Existing RAM (GB)]+HostBuild[RAM 
(GB)]&gt;0,IF(HostBuild[Virtual Platform Storage Type]="NAS",110+HostBuild[Existing RAM (GB)]+HostBuild[RAM 
(GB)]*1.75,0),0),0),0)</f>
        <v>0</v>
      </c>
      <c r="BT168" s="111"/>
      <c r="BU168" s="112">
        <f>IF(ISNUMBER(HostBuild[Recommended NAS (GB)]),HostBuild[Recommended NAS (GB)])+HostBuild[Additional NAS (GB)]</f>
        <v>0</v>
      </c>
      <c r="BV168" s="144"/>
      <c r="BW168" s="144"/>
      <c r="BX168" s="133">
        <f>IFERROR((HostBuild[SAN (GB)
End-State
DO NOT USE TO BUILD]+HostBuild[SAN (GB) Shared])*25%,"")</f>
        <v>0</v>
      </c>
      <c r="BY168" s="113">
        <f>IFERROR(HostBuild[Archive
Full (GB)]*15%,"")</f>
        <v>0</v>
      </c>
      <c r="BZ168" s="51"/>
      <c r="CA168" s="51"/>
      <c r="CB168" s="52"/>
      <c r="CC168" s="53"/>
      <c r="CD168" s="52"/>
      <c r="CE168" s="145"/>
      <c r="CF168" s="128"/>
      <c r="CG168" s="146"/>
      <c r="CH168" s="147"/>
      <c r="CI168" s="148"/>
      <c r="CJ168" s="57"/>
      <c r="CK168" s="149"/>
      <c r="CL168" s="59">
        <f>IFERROR(IF(FIND(CL$1,$W168)&gt;0,IF(INDEX([1]!Product_Pricing_Table[#Data],MATCH(CL$1,Products,0),2)="Cores",IF(HostBuild[Use existing server config towards SW Licensing?]="a",HostBuild[Existing Cores],0)+HostBuild[Cores 
(Licensed Units)],IF(INDEX([1]!Product_Pricing_Table[#Data],MATCH(CL$1,Products,0),2)="CPU",IF(HostBuild[Use existing server config towards SW Licensing?]="a",HostBuild[Existing CPUs],0)+HostBuild[CPU],IF(INDEX([1]!Product_Pricing_Table[#Data],MATCH(CL$1,Products,0),2)="Per Server",IF(OR(AND(HostBuild[Existing Server?]="Yes - Outside this BoM", HostBuild[Use existing server config towards SW Licensing?]="a"),ISNUMBER(HostBuild[CPU])),IF(HostBuild[CPU]&gt;0,1,IF(HostBuild[CPU]&lt;0,-1,0)),0),0)))),0)</f>
        <v>0</v>
      </c>
      <c r="CM168" s="59">
        <f>IFERROR(IF(FIND(CM$1,$W168)&gt;0,IF(INDEX([1]!Product_Pricing_Table[#Data],MATCH(CM$1,Products,0),2)="Cores",IF(HostBuild[Use existing server config towards SW Licensing?]="a",HostBuild[Existing Cores],0)+HostBuild[Cores 
(Licensed Units)],IF(INDEX([1]!Product_Pricing_Table[#Data],MATCH(CM$1,Products,0),2)="CPU",IF(HostBuild[Use existing server config towards SW Licensing?]="a",HostBuild[Existing CPUs],0)+HostBuild[CPU],IF(INDEX([1]!Product_Pricing_Table[#Data],MATCH(CM$1,Products,0),2)="Per Server",IF(OR(AND(HostBuild[Existing Server?]="Yes - Outside this BoM", HostBuild[Use existing server config towards SW Licensing?]="a"),ISNUMBER(HostBuild[CPU])),IF(HostBuild[CPU]&gt;0,1,IF(HostBuild[CPU]&lt;0,-1,0)),0),0)))),0)</f>
        <v>0</v>
      </c>
      <c r="CN168" s="59">
        <f>IFERROR(IF(FIND(CN$1,$W168)&gt;0,IF(INDEX([1]!Product_Pricing_Table[#Data],MATCH(CN$1,Products,0),2)="Cores",IF(HostBuild[Use existing server config towards SW Licensing?]="a",HostBuild[Existing Cores],0)+HostBuild[Cores 
(Licensed Units)],IF(INDEX([1]!Product_Pricing_Table[#Data],MATCH(CN$1,Products,0),2)="CPU",IF(HostBuild[Use existing server config towards SW Licensing?]="a",HostBuild[Existing CPUs],0)+HostBuild[CPU],IF(INDEX([1]!Product_Pricing_Table[#Data],MATCH(CN$1,Products,0),2)="Per Server",IF(OR(AND(HostBuild[Existing Server?]="Yes - Outside this BoM", HostBuild[Use existing server config towards SW Licensing?]="a"),ISNUMBER(HostBuild[CPU])),IF(HostBuild[CPU]&gt;0,1,IF(HostBuild[CPU]&lt;0,-1,0)),0),0)))),0)</f>
        <v>0</v>
      </c>
      <c r="CO168" s="59">
        <f>IFERROR(IF(FIND(CO$1,$W168)&gt;0,IF(INDEX([1]!Product_Pricing_Table[#Data],MATCH(CO$1,Products,0),2)="Cores",IF(HostBuild[Use existing server config towards SW Licensing?]="a",HostBuild[Existing Cores],0)+HostBuild[Cores 
(Licensed Units)],IF(INDEX([1]!Product_Pricing_Table[#Data],MATCH(CO$1,Products,0),2)="CPU",IF(HostBuild[Use existing server config towards SW Licensing?]="a",HostBuild[Existing CPUs],0)+HostBuild[CPU],IF(INDEX([1]!Product_Pricing_Table[#Data],MATCH(CO$1,Products,0),2)="Per Server",IF(OR(AND(HostBuild[Existing Server?]="Yes - Outside this BoM", HostBuild[Use existing server config towards SW Licensing?]="a"),ISNUMBER(HostBuild[CPU])),IF(HostBuild[CPU]&gt;0,1,IF(HostBuild[CPU]&lt;0,-1,0)),0),0)))),0)</f>
        <v>0</v>
      </c>
      <c r="CP168" s="59">
        <f>IFERROR(IF(FIND(CP$1,$W168)&gt;0,IF(INDEX([1]!Product_Pricing_Table[#Data],MATCH(CP$1,Products,0),2)="Cores",IF(HostBuild[Use existing server config towards SW Licensing?]="a",HostBuild[Existing Cores],0)+HostBuild[Cores 
(Licensed Units)],IF(INDEX([1]!Product_Pricing_Table[#Data],MATCH(CP$1,Products,0),2)="CPU",IF(HostBuild[Use existing server config towards SW Licensing?]="a",HostBuild[Existing CPUs],0)+HostBuild[CPU],IF(INDEX([1]!Product_Pricing_Table[#Data],MATCH(CP$1,Products,0),2)="Per Server",IF(OR(AND(HostBuild[Existing Server?]="Yes - Outside this BoM", HostBuild[Use existing server config towards SW Licensing?]="a"),ISNUMBER(HostBuild[CPU])),IF(HostBuild[CPU]&gt;0,1,IF(HostBuild[CPU]&lt;0,-1,0)),0),0)))),0)</f>
        <v>0</v>
      </c>
      <c r="CQ168" s="59">
        <f>IFERROR(IF(FIND(CQ$1,$W168)&gt;0,IF(INDEX([1]!Product_Pricing_Table[#Data],MATCH(CQ$1,Products,0),2)="Cores",IF(HostBuild[Use existing server config towards SW Licensing?]="a",HostBuild[Existing Cores],0)+HostBuild[Cores 
(Licensed Units)],IF(INDEX([1]!Product_Pricing_Table[#Data],MATCH(CQ$1,Products,0),2)="CPU",IF(HostBuild[Use existing server config towards SW Licensing?]="a",HostBuild[Existing CPUs],0)+HostBuild[CPU],IF(INDEX([1]!Product_Pricing_Table[#Data],MATCH(CQ$1,Products,0),2)="Per Server",IF(OR(AND(HostBuild[Existing Server?]="Yes - Outside this BoM", HostBuild[Use existing server config towards SW Licensing?]="a"),ISNUMBER(HostBuild[CPU])),IF(HostBuild[CPU]&gt;0,1,IF(HostBuild[CPU]&lt;0,-1,0)),0),0)))),0)</f>
        <v>0</v>
      </c>
      <c r="CR168" s="59">
        <f>IFERROR(IF(FIND(CR$1,$W168)&gt;0,IF(INDEX([1]!Product_Pricing_Table[#Data],MATCH(CR$1,Products,0),2)="Cores",IF(HostBuild[Use existing server config towards SW Licensing?]="a",HostBuild[Existing Cores],0)+HostBuild[Cores 
(Licensed Units)],IF(INDEX([1]!Product_Pricing_Table[#Data],MATCH(CR$1,Products,0),2)="CPU",IF(HostBuild[Use existing server config towards SW Licensing?]="a",HostBuild[Existing CPUs],0)+HostBuild[CPU],IF(INDEX([1]!Product_Pricing_Table[#Data],MATCH(CR$1,Products,0),2)="Per Server",IF(OR(AND(HostBuild[Existing Server?]="Yes - Outside this BoM", HostBuild[Use existing server config towards SW Licensing?]="a"),ISNUMBER(HostBuild[CPU])),IF(HostBuild[CPU]&gt;0,1,IF(HostBuild[CPU]&lt;0,-1,0)),0),0)))),0)</f>
        <v>0</v>
      </c>
      <c r="CS168" s="59">
        <f>IFERROR(IF(FIND(CS$1,$W168)&gt;0,IF(INDEX([1]!Product_Pricing_Table[#Data],MATCH(CS$1,Products,0),2)="Cores",IF(HostBuild[Use existing server config towards SW Licensing?]="a",HostBuild[Existing Cores],0)+HostBuild[Cores 
(Licensed Units)],IF(INDEX([1]!Product_Pricing_Table[#Data],MATCH(CS$1,Products,0),2)="CPU",IF(HostBuild[Use existing server config towards SW Licensing?]="a",HostBuild[Existing CPUs],0)+HostBuild[CPU],IF(INDEX([1]!Product_Pricing_Table[#Data],MATCH(CS$1,Products,0),2)="Per Server",IF(OR(AND(HostBuild[Existing Server?]="Yes - Outside this BoM", HostBuild[Use existing server config towards SW Licensing?]="a"),ISNUMBER(HostBuild[CPU])),IF(HostBuild[CPU]&gt;0,1,IF(HostBuild[CPU]&lt;0,-1,0)),0),0)))),0)</f>
        <v>0</v>
      </c>
      <c r="CT168" s="59">
        <f>IFERROR(IF(FIND(CT$1,$W168)&gt;0,IF(INDEX([1]!Product_Pricing_Table[#Data],MATCH(CT$1,Products,0),2)="Cores",IF(HostBuild[Use existing server config towards SW Licensing?]="a",HostBuild[Existing Cores],0)+HostBuild[Cores 
(Licensed Units)],IF(INDEX([1]!Product_Pricing_Table[#Data],MATCH(CT$1,Products,0),2)="CPU",IF(HostBuild[Use existing server config towards SW Licensing?]="a",HostBuild[Existing CPUs],0)+HostBuild[CPU],IF(INDEX([1]!Product_Pricing_Table[#Data],MATCH(CT$1,Products,0),2)="Per Server",IF(OR(AND(HostBuild[Existing Server?]="Yes - Outside this BoM", HostBuild[Use existing server config towards SW Licensing?]="a"),ISNUMBER(HostBuild[CPU])),IF(HostBuild[CPU]&gt;0,1,IF(HostBuild[CPU]&lt;0,-1,0)),0),0)))),0)</f>
        <v>0</v>
      </c>
      <c r="CU168" s="59">
        <f>IFERROR(IF(FIND(CU$1,$W168)&gt;0,IF(INDEX([1]!Product_Pricing_Table[#Data],MATCH(CU$1,Products,0),2)="Cores",IF(HostBuild[Use existing server config towards SW Licensing?]="a",HostBuild[Existing Cores],0)+HostBuild[Cores 
(Licensed Units)],IF(INDEX([1]!Product_Pricing_Table[#Data],MATCH(CU$1,Products,0),2)="CPU",IF(HostBuild[Use existing server config towards SW Licensing?]="a",HostBuild[Existing CPUs],0)+HostBuild[CPU],IF(INDEX([1]!Product_Pricing_Table[#Data],MATCH(CU$1,Products,0),2)="Per Server",IF(OR(AND(HostBuild[Existing Server?]="Yes - Outside this BoM", HostBuild[Use existing server config towards SW Licensing?]="a"),ISNUMBER(HostBuild[CPU])),IF(HostBuild[CPU]&gt;0,1,IF(HostBuild[CPU]&lt;0,-1,0)),0),0)))),0)</f>
        <v>0</v>
      </c>
      <c r="CV168" s="59">
        <f>IFERROR(IF(FIND(CV$1,$W168)&gt;0,IF(INDEX([1]!Product_Pricing_Table[#Data],MATCH(CV$1,Products,0),2)="Cores",IF(HostBuild[Use existing server config towards SW Licensing?]="a",HostBuild[Existing Cores],0)+HostBuild[Cores 
(Licensed Units)],IF(INDEX([1]!Product_Pricing_Table[#Data],MATCH(CV$1,Products,0),2)="CPU",IF(HostBuild[Use existing server config towards SW Licensing?]="a",HostBuild[Existing CPUs],0)+HostBuild[CPU],IF(INDEX([1]!Product_Pricing_Table[#Data],MATCH(CV$1,Products,0),2)="Per Server",IF(OR(AND(HostBuild[Existing Server?]="Yes - Outside this BoM", HostBuild[Use existing server config towards SW Licensing?]="a"),ISNUMBER(HostBuild[CPU])),IF(HostBuild[CPU]&gt;0,1,IF(HostBuild[CPU]&lt;0,-1,0)),0),0)))),0)</f>
        <v>0</v>
      </c>
      <c r="CW168" s="59">
        <f>IFERROR(IF(FIND(CW$1,$W168)&gt;0,IF(INDEX([1]!Product_Pricing_Table[#Data],MATCH(CW$1,Products,0),2)="Cores",IF(HostBuild[Use existing server config towards SW Licensing?]="a",HostBuild[Existing Cores],0)+HostBuild[Cores 
(Licensed Units)],IF(INDEX([1]!Product_Pricing_Table[#Data],MATCH(CW$1,Products,0),2)="CPU",IF(HostBuild[Use existing server config towards SW Licensing?]="a",HostBuild[Existing CPUs],0)+HostBuild[CPU],IF(INDEX([1]!Product_Pricing_Table[#Data],MATCH(CW$1,Products,0),2)="Per Server",IF(OR(AND(HostBuild[Existing Server?]="Yes - Outside this BoM", HostBuild[Use existing server config towards SW Licensing?]="a"),ISNUMBER(HostBuild[CPU])),IF(HostBuild[CPU]&gt;0,1,IF(HostBuild[CPU]&lt;0,-1,0)),0),0)))),0)</f>
        <v>0</v>
      </c>
      <c r="CX168" s="59">
        <f>IFERROR(IF(FIND(CX$1,$W168)&gt;0,IF(INDEX([1]!Product_Pricing_Table[#Data],MATCH(CX$1,Products,0),2)="Cores",IF(HostBuild[Use existing server config towards SW Licensing?]="a",HostBuild[Existing Cores],0)+HostBuild[Cores 
(Licensed Units)],IF(INDEX([1]!Product_Pricing_Table[#Data],MATCH(CX$1,Products,0),2)="CPU",IF(HostBuild[Use existing server config towards SW Licensing?]="a",HostBuild[Existing CPUs],0)+HostBuild[CPU],IF(INDEX([1]!Product_Pricing_Table[#Data],MATCH(CX$1,Products,0),2)="Per Server",IF(OR(AND(HostBuild[Existing Server?]="Yes - Outside this BoM", HostBuild[Use existing server config towards SW Licensing?]="a"),ISNUMBER(HostBuild[CPU])),IF(HostBuild[CPU]&gt;0,1,IF(HostBuild[CPU]&lt;0,-1,0)),0),0)))),0)</f>
        <v>0</v>
      </c>
      <c r="CY168" s="59">
        <f>IFERROR(IF(FIND(CY$1,$W168)&gt;0,IF(INDEX([1]!Product_Pricing_Table[#Data],MATCH(CY$1,Products,0),2)="Cores",IF(HostBuild[Use existing server config towards SW Licensing?]="a",HostBuild[Existing Cores],0)+HostBuild[Cores 
(Licensed Units)],IF(INDEX([1]!Product_Pricing_Table[#Data],MATCH(CY$1,Products,0),2)="CPU",IF(HostBuild[Use existing server config towards SW Licensing?]="a",HostBuild[Existing CPUs],0)+HostBuild[CPU],IF(INDEX([1]!Product_Pricing_Table[#Data],MATCH(CY$1,Products,0),2)="Per Server",IF(OR(AND(HostBuild[Existing Server?]="Yes - Outside this BoM", HostBuild[Use existing server config towards SW Licensing?]="a"),ISNUMBER(HostBuild[CPU])),IF(HostBuild[CPU]&gt;0,1,IF(HostBuild[CPU]&lt;0,-1,0)),0),0)))),0)</f>
        <v>0</v>
      </c>
      <c r="CZ168" s="59">
        <f>IFERROR(IF(FIND(CZ$1,$W168)&gt;0,IF(INDEX([1]!Product_Pricing_Table[#Data],MATCH(CZ$1,Products,0),2)="Cores",IF(HostBuild[Use existing server config towards SW Licensing?]="a",HostBuild[Existing Cores],0)+HostBuild[Cores 
(Licensed Units)],IF(INDEX([1]!Product_Pricing_Table[#Data],MATCH(CZ$1,Products,0),2)="CPU",IF(HostBuild[Use existing server config towards SW Licensing?]="a",HostBuild[Existing CPUs],0)+HostBuild[CPU],IF(INDEX([1]!Product_Pricing_Table[#Data],MATCH(CZ$1,Products,0),2)="Per Server",IF(OR(AND(HostBuild[Existing Server?]="Yes - Outside this BoM", HostBuild[Use existing server config towards SW Licensing?]="a"),ISNUMBER(HostBuild[CPU])),IF(HostBuild[CPU]&gt;0,1,IF(HostBuild[CPU]&lt;0,-1,0)),0),0)))),0)</f>
        <v>0</v>
      </c>
      <c r="DA168" s="59">
        <f>IFERROR(IF(FIND(DA$1,$W168)&gt;0,IF(INDEX([1]!Product_Pricing_Table[#Data],MATCH(DA$1,Products,0),2)="Cores",IF(HostBuild[Use existing server config towards SW Licensing?]="a",HostBuild[Existing Cores],0)+HostBuild[Cores 
(Licensed Units)],IF(INDEX([1]!Product_Pricing_Table[#Data],MATCH(DA$1,Products,0),2)="CPU",IF(HostBuild[Use existing server config towards SW Licensing?]="a",HostBuild[Existing CPUs],0)+HostBuild[CPU],IF(INDEX([1]!Product_Pricing_Table[#Data],MATCH(DA$1,Products,0),2)="Per Server",IF(OR(AND(HostBuild[Existing Server?]="Yes - Outside this BoM", HostBuild[Use existing server config towards SW Licensing?]="a"),ISNUMBER(HostBuild[CPU])),IF(HostBuild[CPU]&gt;0,1,IF(HostBuild[CPU]&lt;0,-1,0)),0),0)))),0)</f>
        <v>0</v>
      </c>
      <c r="DB168" s="59">
        <f>IFERROR(IF(FIND(DB$1,$W168)&gt;0,IF(INDEX([1]!Product_Pricing_Table[#Data],MATCH(DB$1,Products,0),2)="Cores",IF(HostBuild[Use existing server config towards SW Licensing?]="a",HostBuild[Existing Cores],0)+HostBuild[Cores 
(Licensed Units)],IF(INDEX([1]!Product_Pricing_Table[#Data],MATCH(DB$1,Products,0),2)="CPU",IF(HostBuild[Use existing server config towards SW Licensing?]="a",HostBuild[Existing CPUs],0)+HostBuild[CPU],IF(INDEX([1]!Product_Pricing_Table[#Data],MATCH(DB$1,Products,0),2)="Per Server",IF(OR(AND(HostBuild[Existing Server?]="Yes - Outside this BoM", HostBuild[Use existing server config towards SW Licensing?]="a"),ISNUMBER(HostBuild[CPU])),IF(HostBuild[CPU]&gt;0,1,IF(HostBuild[CPU]&lt;0,-1,0)),0),0)))),0)</f>
        <v>0</v>
      </c>
      <c r="DC168" s="59">
        <f>IFERROR(IF(FIND(DC$1,$W168)&gt;0,IF(INDEX([1]!Product_Pricing_Table[#Data],MATCH(DC$1,Products,0),2)="Cores",IF(HostBuild[Use existing server config towards SW Licensing?]="a",HostBuild[Existing Cores],0)+HostBuild[Cores 
(Licensed Units)],IF(INDEX([1]!Product_Pricing_Table[#Data],MATCH(DC$1,Products,0),2)="CPU",IF(HostBuild[Use existing server config towards SW Licensing?]="a",HostBuild[Existing CPUs],0)+HostBuild[CPU],IF(INDEX([1]!Product_Pricing_Table[#Data],MATCH(DC$1,Products,0),2)="Per Server",IF(OR(AND(HostBuild[Existing Server?]="Yes - Outside this BoM", HostBuild[Use existing server config towards SW Licensing?]="a"),ISNUMBER(HostBuild[CPU])),IF(HostBuild[CPU]&gt;0,1,IF(HostBuild[CPU]&lt;0,-1,0)),0),0)))),0)</f>
        <v>0</v>
      </c>
      <c r="DD168" s="59">
        <f>IFERROR(IF(FIND(DD$1,$W168)&gt;0,IF(INDEX([1]!Product_Pricing_Table[#Data],MATCH(DD$1,Products,0),2)="Cores",IF(HostBuild[Use existing server config towards SW Licensing?]="a",HostBuild[Existing Cores],0)+HostBuild[Cores 
(Licensed Units)],IF(INDEX([1]!Product_Pricing_Table[#Data],MATCH(DD$1,Products,0),2)="CPU",IF(HostBuild[Use existing server config towards SW Licensing?]="a",HostBuild[Existing CPUs],0)+HostBuild[CPU],IF(INDEX([1]!Product_Pricing_Table[#Data],MATCH(DD$1,Products,0),2)="Per Server",IF(OR(AND(HostBuild[Existing Server?]="Yes - Outside this BoM", HostBuild[Use existing server config towards SW Licensing?]="a"),ISNUMBER(HostBuild[CPU])),IF(HostBuild[CPU]&gt;0,1,IF(HostBuild[CPU]&lt;0,-1,0)),0),0)))),0)</f>
        <v>0</v>
      </c>
      <c r="DE168" s="59">
        <f>IFERROR(IF(FIND(DE$1,$W168)&gt;0,IF(INDEX([1]!Product_Pricing_Table[#Data],MATCH(DE$1,Products,0),2)="Cores",IF(HostBuild[Use existing server config towards SW Licensing?]="a",HostBuild[Existing Cores],0)+HostBuild[Cores 
(Licensed Units)],IF(INDEX([1]!Product_Pricing_Table[#Data],MATCH(DE$1,Products,0),2)="CPU",IF(HostBuild[Use existing server config towards SW Licensing?]="a",HostBuild[Existing CPUs],0)+HostBuild[CPU],IF(INDEX([1]!Product_Pricing_Table[#Data],MATCH(DE$1,Products,0),2)="Per Server",IF(OR(AND(HostBuild[Existing Server?]="Yes - Outside this BoM", HostBuild[Use existing server config towards SW Licensing?]="a"),ISNUMBER(HostBuild[CPU])),IF(HostBuild[CPU]&gt;0,1,IF(HostBuild[CPU]&lt;0,-1,0)),0),0)))),0)</f>
        <v>0</v>
      </c>
      <c r="DF168" s="60">
        <f>IFERROR(IF(FIND(DF$1,$W168)&gt;0,IF(INDEX([1]!Product_Pricing_Table[#Data],MATCH(DF$1,Products,0),2)="Cores",IF(HostBuild[Use existing server config towards SW Licensing?]="a",HostBuild[Existing Cores],0)+HostBuild[Cores 
(Licensed Units)],IF(INDEX([1]!Product_Pricing_Table[#Data],MATCH(DF$1,Products,0),2)="CPU",IF(HostBuild[Use existing server config towards SW Licensing?]="a",HostBuild[Existing CPUs],0)+HostBuild[CPU],IF(INDEX([1]!Product_Pricing_Table[#Data],MATCH(DF$1,Products,0),2)="Per Server",IF(OR(AND(HostBuild[Existing Server?]="Yes - Outside this BoM", HostBuild[Use existing server config towards SW Licensing?]="a"),ISNUMBER(HostBuild[CPU])),IF(HostBuild[CPU]&gt;0,1,IF(HostBuild[CPU]&lt;0,-1,0)),0),0)))),0)</f>
        <v>0</v>
      </c>
      <c r="DG168" s="60">
        <f>IFERROR(IF(FIND(DG$1,$W168)&gt;0,IF(INDEX([1]!Product_Pricing_Table[#Data],MATCH(DG$1,Products,0),2)="Cores",IF(HostBuild[Use existing server config towards SW Licensing?]="a",HostBuild[Existing Cores],0)+HostBuild[Cores 
(Licensed Units)],IF(INDEX([1]!Product_Pricing_Table[#Data],MATCH(DG$1,Products,0),2)="CPU",IF(HostBuild[Use existing server config towards SW Licensing?]="a",HostBuild[Existing CPUs],0)+HostBuild[CPU],IF(INDEX([1]!Product_Pricing_Table[#Data],MATCH(DG$1,Products,0),2)="Per Server",IF(OR(AND(HostBuild[Existing Server?]="Yes - Outside this BoM", HostBuild[Use existing server config towards SW Licensing?]="a"),ISNUMBER(HostBuild[CPU])),IF(HostBuild[CPU]&gt;0,1,IF(HostBuild[CPU]&lt;0,-1,0)),0),0)))),0)</f>
        <v>0</v>
      </c>
      <c r="DH168" s="59">
        <f>IFERROR(IF(FIND(DH$1,$W168)&gt;0,IF(INDEX([1]!Product_Pricing_Table[#Data],MATCH(DH$1,Products,0),2)="Cores",IF(HostBuild[Use existing server config towards SW Licensing?]="a",HostBuild[Existing Cores],0)+HostBuild[Cores 
(Licensed Units)],IF(INDEX([1]!Product_Pricing_Table[#Data],MATCH(DH$1,Products,0),2)="CPU",IF(HostBuild[Use existing server config towards SW Licensing?]="a",HostBuild[Existing CPUs],0)+HostBuild[CPU],IF(INDEX([1]!Product_Pricing_Table[#Data],MATCH(DH$1,Products,0),2)="Per Server",IF(OR(AND(HostBuild[Existing Server?]="Yes - Outside this BoM", HostBuild[Use existing server config towards SW Licensing?]="a"),ISNUMBER(HostBuild[CPU])),IF(HostBuild[CPU]&gt;0,1,IF(HostBuild[CPU]&lt;0,-1,0)),0),0)))),0)</f>
        <v>0</v>
      </c>
      <c r="DI168" s="60">
        <f>IFERROR(IF(FIND(DI$1,$W168)&gt;0,IF(INDEX([1]!Product_Pricing_Table[#Data],MATCH(DI$1,Products,0),2)="Cores",IF(HostBuild[Use existing server config towards SW Licensing?]="a",HostBuild[Existing Cores],0)+HostBuild[Cores 
(Licensed Units)],IF(INDEX([1]!Product_Pricing_Table[#Data],MATCH(DI$1,Products,0),2)="CPU",IF(HostBuild[Use existing server config towards SW Licensing?]="a",HostBuild[Existing CPUs],0)+HostBuild[CPU],IF(INDEX([1]!Product_Pricing_Table[#Data],MATCH(DI$1,Products,0),2)="Per Server",IF(OR(AND(HostBuild[Existing Server?]="Yes - Outside this BoM", HostBuild[Use existing server config towards SW Licensing?]="a"),ISNUMBER(HostBuild[CPU])),IF(HostBuild[CPU]&gt;0,1,IF(HostBuild[CPU]&lt;0,-1,0)),0),0)))),0)</f>
        <v>0</v>
      </c>
      <c r="DJ168" s="59">
        <f>IFERROR(IF(FIND(DJ$1,$W168)&gt;0,IF(INDEX([1]!Product_Pricing_Table[#Data],MATCH(DJ$1,Products,0),2)="Cores",IF(HostBuild[Use existing server config towards SW Licensing?]="a",HostBuild[Existing Cores],0)+HostBuild[Cores 
(Licensed Units)],IF(INDEX([1]!Product_Pricing_Table[#Data],MATCH(DJ$1,Products,0),2)="CPU",IF(HostBuild[Use existing server config towards SW Licensing?]="a",HostBuild[Existing CPUs],0)+HostBuild[CPU],IF(INDEX([1]!Product_Pricing_Table[#Data],MATCH(DJ$1,Products,0),2)="Per Server",IF(OR(AND(HostBuild[Existing Server?]="Yes - Outside this BoM", HostBuild[Use existing server config towards SW Licensing?]="a"),ISNUMBER(HostBuild[CPU])),IF(HostBuild[CPU]&gt;0,1,IF(HostBuild[CPU]&lt;0,-1,0)),0),0)))),0)</f>
        <v>0</v>
      </c>
      <c r="DK168" s="59">
        <f>IFERROR(IF(FIND(DK$1,$W168)&gt;0,IF(INDEX([1]!Product_Pricing_Table[#Data],MATCH(DK$1,Products,0),2)="Cores",IF(HostBuild[Use existing server config towards SW Licensing?]="a",HostBuild[Existing Cores],0)+HostBuild[Cores 
(Licensed Units)],IF(INDEX([1]!Product_Pricing_Table[#Data],MATCH(DK$1,Products,0),2)="CPU",IF(HostBuild[Use existing server config towards SW Licensing?]="a",HostBuild[Existing CPUs],0)+HostBuild[CPU],IF(INDEX([1]!Product_Pricing_Table[#Data],MATCH(DK$1,Products,0),2)="Per Server",IF(OR(AND(HostBuild[Existing Server?]="Yes - Outside this BoM", HostBuild[Use existing server config towards SW Licensing?]="a"),ISNUMBER(HostBuild[CPU])),IF(HostBuild[CPU]&gt;0,1,IF(HostBuild[CPU]&lt;0,-1,0)),0),0)))),0)</f>
        <v>0</v>
      </c>
      <c r="DL168" s="59">
        <f>IFERROR(IF(FIND(DL$1,$W168)&gt;0,IF(INDEX([1]!Product_Pricing_Table[#Data],MATCH(DL$1,Products,0),2)="Cores",IF(HostBuild[Use existing server config towards SW Licensing?]="a",HostBuild[Existing Cores],0)+HostBuild[Cores 
(Licensed Units)],IF(INDEX([1]!Product_Pricing_Table[#Data],MATCH(DL$1,Products,0),2)="CPU",IF(HostBuild[Use existing server config towards SW Licensing?]="a",HostBuild[Existing CPUs],0)+HostBuild[CPU],IF(INDEX([1]!Product_Pricing_Table[#Data],MATCH(DL$1,Products,0),2)="Per Server",IF(OR(AND(HostBuild[Existing Server?]="Yes - Outside this BoM", HostBuild[Use existing server config towards SW Licensing?]="a"),ISNUMBER(HostBuild[CPU])),IF(HostBuild[CPU]&gt;0,1,IF(HostBuild[CPU]&lt;0,-1,0)),0),0)))),0)</f>
        <v>0</v>
      </c>
      <c r="DM168" s="59">
        <f>IFERROR(IF(FIND(DM$1,$W168)&gt;0,IF(INDEX([1]!Product_Pricing_Table[#Data],MATCH(DM$1,Products,0),2)="Cores",IF(HostBuild[Use existing server config towards SW Licensing?]="a",HostBuild[Existing Cores],0)+HostBuild[Cores 
(Licensed Units)],IF(INDEX([1]!Product_Pricing_Table[#Data],MATCH(DM$1,Products,0),2)="CPU",IF(HostBuild[Use existing server config towards SW Licensing?]="a",HostBuild[Existing CPUs],0)+HostBuild[CPU],IF(INDEX([1]!Product_Pricing_Table[#Data],MATCH(DM$1,Products,0),2)="Per Server",IF(OR(AND(HostBuild[Existing Server?]="Yes - Outside this BoM", HostBuild[Use existing server config towards SW Licensing?]="a"),ISNUMBER(HostBuild[CPU])),IF(HostBuild[CPU]&gt;0,1,IF(HostBuild[CPU]&lt;0,-1,0)),0),0)))),0)</f>
        <v>0</v>
      </c>
      <c r="DN168" s="59">
        <f>IFERROR(IF(FIND(DN$1,$W168)&gt;0,IF(INDEX([1]!Product_Pricing_Table[#Data],MATCH(DN$1,Products,0),2)="Cores",IF(HostBuild[Use existing server config towards SW Licensing?]="a",HostBuild[Existing Cores],0)+HostBuild[Cores 
(Licensed Units)],IF(INDEX([1]!Product_Pricing_Table[#Data],MATCH(DN$1,Products,0),2)="CPU",IF(HostBuild[Use existing server config towards SW Licensing?]="a",HostBuild[Existing CPUs],0)+HostBuild[CPU],IF(INDEX([1]!Product_Pricing_Table[#Data],MATCH(DN$1,Products,0),2)="Per Server",IF(OR(AND(HostBuild[Existing Server?]="Yes - Outside this BoM", HostBuild[Use existing server config towards SW Licensing?]="a"),ISNUMBER(HostBuild[CPU])),IF(HostBuild[CPU]&gt;0,1,IF(HostBuild[CPU]&lt;0,-1,0)),0),0)))),0)</f>
        <v>0</v>
      </c>
      <c r="DO168" s="59">
        <f>IFERROR(IF(FIND(DO$1,$W168)&gt;0,IF(INDEX([1]!Product_Pricing_Table[#Data],MATCH(DO$1,Products,0),2)="Cores",IF(HostBuild[Use existing server config towards SW Licensing?]="a",HostBuild[Existing Cores],0)+HostBuild[Cores 
(Licensed Units)],IF(INDEX([1]!Product_Pricing_Table[#Data],MATCH(DO$1,Products,0),2)="CPU",IF(HostBuild[Use existing server config towards SW Licensing?]="a",HostBuild[Existing CPUs],0)+HostBuild[CPU],IF(INDEX([1]!Product_Pricing_Table[#Data],MATCH(DO$1,Products,0),2)="Per Server",IF(OR(AND(HostBuild[Existing Server?]="Yes - Outside this BoM", HostBuild[Use existing server config towards SW Licensing?]="a"),ISNUMBER(HostBuild[CPU])),IF(HostBuild[CPU]&gt;0,1,IF(HostBuild[CPU]&lt;0,-1,0)),0),0)))),0)</f>
        <v>0</v>
      </c>
      <c r="DP168" s="59">
        <f>IFERROR(IF(FIND(DP$1,$W168)&gt;0,IF(INDEX([1]!Product_Pricing_Table[#Data],MATCH(DP$1,Products,0),2)="Cores",IF(HostBuild[Use existing server config towards SW Licensing?]="a",HostBuild[Existing Cores],0)+HostBuild[Cores 
(Licensed Units)],IF(INDEX([1]!Product_Pricing_Table[#Data],MATCH(DP$1,Products,0),2)="CPU",IF(HostBuild[Use existing server config towards SW Licensing?]="a",HostBuild[Existing CPUs],0)+HostBuild[CPU],IF(INDEX([1]!Product_Pricing_Table[#Data],MATCH(DP$1,Products,0),2)="Per Server",IF(OR(AND(HostBuild[Existing Server?]="Yes - Outside this BoM", HostBuild[Use existing server config towards SW Licensing?]="a"),ISNUMBER(HostBuild[CPU])),IF(HostBuild[CPU]&gt;0,1,IF(HostBuild[CPU]&lt;0,-1,0)),0),0)))),0)</f>
        <v>0</v>
      </c>
      <c r="DQ168" s="59">
        <f>IFERROR(IF(FIND(DQ$1,$W168)&gt;0,IF(INDEX([1]!Product_Pricing_Table[#Data],MATCH(DQ$1,Products,0),2)="Cores",IF(HostBuild[Use existing server config towards SW Licensing?]="a",HostBuild[Existing Cores],0)+HostBuild[Cores 
(Licensed Units)],IF(INDEX([1]!Product_Pricing_Table[#Data],MATCH(DQ$1,Products,0),2)="CPU",IF(HostBuild[Use existing server config towards SW Licensing?]="a",HostBuild[Existing CPUs],0)+HostBuild[CPU],IF(INDEX([1]!Product_Pricing_Table[#Data],MATCH(DQ$1,Products,0),2)="Per Server",IF(OR(AND(HostBuild[Existing Server?]="Yes - Outside this BoM", HostBuild[Use existing server config towards SW Licensing?]="a"),ISNUMBER(HostBuild[CPU])),IF(HostBuild[CPU]&gt;0,1,IF(HostBuild[CPU]&lt;0,-1,0)),0),0)))),0)</f>
        <v>0</v>
      </c>
      <c r="DR168" s="59">
        <f>IFERROR(IF(FIND(DR$1,$W168)&gt;0,IF(INDEX([1]!Product_Pricing_Table[#Data],MATCH(DR$1,Products,0),2)="Cores",IF(HostBuild[Use existing server config towards SW Licensing?]="a",HostBuild[Existing Cores],0)+HostBuild[Cores 
(Licensed Units)],IF(INDEX([1]!Product_Pricing_Table[#Data],MATCH(DR$1,Products,0),2)="CPU",IF(HostBuild[Use existing server config towards SW Licensing?]="a",HostBuild[Existing CPUs],0)+HostBuild[CPU],IF(INDEX([1]!Product_Pricing_Table[#Data],MATCH(DR$1,Products,0),2)="Per Server",IF(OR(AND(HostBuild[Existing Server?]="Yes - Outside this BoM", HostBuild[Use existing server config towards SW Licensing?]="a"),ISNUMBER(HostBuild[CPU])),IF(HostBuild[CPU]&gt;0,1,IF(HostBuild[CPU]&lt;0,-1,0)),0),0)))),0)</f>
        <v>0</v>
      </c>
      <c r="DS168" s="59">
        <f>IFERROR(IF(FIND(DS$1,$W168)&gt;0,IF(INDEX([1]!Product_Pricing_Table[#Data],MATCH(DS$1,Products,0),2)="Cores",IF(HostBuild[Use existing server config towards SW Licensing?]="a",HostBuild[Existing Cores],0)+HostBuild[Cores 
(Licensed Units)],IF(INDEX([1]!Product_Pricing_Table[#Data],MATCH(DS$1,Products,0),2)="CPU",IF(HostBuild[Use existing server config towards SW Licensing?]="a",HostBuild[Existing CPUs],0)+HostBuild[CPU],IF(INDEX([1]!Product_Pricing_Table[#Data],MATCH(DS$1,Products,0),2)="Per Server",IF(OR(AND(HostBuild[Existing Server?]="Yes - Outside this BoM", HostBuild[Use existing server config towards SW Licensing?]="a"),ISNUMBER(HostBuild[CPU])),IF(HostBuild[CPU]&gt;0,1,IF(HostBuild[CPU]&lt;0,-1,0)),0),0)))),0)</f>
        <v>0</v>
      </c>
      <c r="DT168" s="59">
        <f>IFERROR(IF(FIND(DT$1,$W168)&gt;0,IF(INDEX([1]!Product_Pricing_Table[#Data],MATCH(DT$1,Products,0),2)="Cores",IF(HostBuild[Use existing server config towards SW Licensing?]="a",HostBuild[Existing Cores],0)+HostBuild[Cores 
(Licensed Units)],IF(INDEX([1]!Product_Pricing_Table[#Data],MATCH(DT$1,Products,0),2)="CPU",IF(HostBuild[Use existing server config towards SW Licensing?]="a",HostBuild[Existing CPUs],0)+HostBuild[CPU],IF(INDEX([1]!Product_Pricing_Table[#Data],MATCH(DT$1,Products,0),2)="Per Server",IF(OR(AND(HostBuild[Existing Server?]="Yes - Outside this BoM", HostBuild[Use existing server config towards SW Licensing?]="a"),ISNUMBER(HostBuild[CPU])),IF(HostBuild[CPU]&gt;0,1,IF(HostBuild[CPU]&lt;0,-1,0)),0),0)))),0)</f>
        <v>0</v>
      </c>
      <c r="DU168" s="59">
        <f>IFERROR(IF(FIND(DU$1,$W168)&gt;0,IF(INDEX([1]!Product_Pricing_Table[#Data],MATCH(DU$1,Products,0),2)="Cores",IF(HostBuild[Use existing server config towards SW Licensing?]="a",HostBuild[Existing Cores],0)+HostBuild[Cores 
(Licensed Units)],IF(INDEX([1]!Product_Pricing_Table[#Data],MATCH(DU$1,Products,0),2)="CPU",IF(HostBuild[Use existing server config towards SW Licensing?]="a",HostBuild[Existing CPUs],0)+HostBuild[CPU],IF(INDEX([1]!Product_Pricing_Table[#Data],MATCH(DU$1,Products,0),2)="Per Server",IF(OR(AND(HostBuild[Existing Server?]="Yes - Outside this BoM", HostBuild[Use existing server config towards SW Licensing?]="a"),ISNUMBER(HostBuild[CPU])),IF(HostBuild[CPU]&gt;0,1,IF(HostBuild[CPU]&lt;0,-1,0)),0),0)))),0)</f>
        <v>0</v>
      </c>
      <c r="DV168" s="59">
        <f>IFERROR(IF(FIND(DV$1,$W168)&gt;0,IF(INDEX([1]!Product_Pricing_Table[#Data],MATCH(DV$1,Products,0),2)="Cores",IF(HostBuild[Use existing server config towards SW Licensing?]="a",HostBuild[Existing Cores],0)+HostBuild[Cores 
(Licensed Units)],IF(INDEX([1]!Product_Pricing_Table[#Data],MATCH(DV$1,Products,0),2)="CPU",IF(HostBuild[Use existing server config towards SW Licensing?]="a",HostBuild[Existing CPUs],0)+HostBuild[CPU],IF(INDEX([1]!Product_Pricing_Table[#Data],MATCH(DV$1,Products,0),2)="Per Server",IF(OR(AND(HostBuild[Existing Server?]="Yes - Outside this BoM", HostBuild[Use existing server config towards SW Licensing?]="a"),ISNUMBER(HostBuild[CPU])),IF(HostBuild[CPU]&gt;0,1,IF(HostBuild[CPU]&lt;0,-1,0)),0),0)))),0)</f>
        <v>0</v>
      </c>
      <c r="DW168" s="59">
        <f>IFERROR(IF(FIND(DW$1,$W168)&gt;0,IF(INDEX([1]!Product_Pricing_Table[#Data],MATCH(DW$1,Products,0),2)="Cores",IF(HostBuild[Use existing server config towards SW Licensing?]="a",HostBuild[Existing Cores],0)+HostBuild[Cores 
(Licensed Units)],IF(INDEX([1]!Product_Pricing_Table[#Data],MATCH(DW$1,Products,0),2)="CPU",IF(HostBuild[Use existing server config towards SW Licensing?]="a",HostBuild[Existing CPUs],0)+HostBuild[CPU],IF(INDEX([1]!Product_Pricing_Table[#Data],MATCH(DW$1,Products,0),2)="Per Server",IF(OR(AND(HostBuild[Existing Server?]="Yes - Outside this BoM", HostBuild[Use existing server config towards SW Licensing?]="a"),ISNUMBER(HostBuild[CPU])),IF(HostBuild[CPU]&gt;0,1,IF(HostBuild[CPU]&lt;0,-1,0)),0),0)))),0)</f>
        <v>0</v>
      </c>
      <c r="DX168" s="59">
        <f>IFERROR(IF(FIND(DX$1,$W168)&gt;0,IF(INDEX([1]!Product_Pricing_Table[#Data],MATCH(DX$1,Products,0),2)="Cores",IF(HostBuild[Use existing server config towards SW Licensing?]="a",HostBuild[Existing Cores],0)+HostBuild[Cores 
(Licensed Units)],IF(INDEX([1]!Product_Pricing_Table[#Data],MATCH(DX$1,Products,0),2)="CPU",IF(HostBuild[Use existing server config towards SW Licensing?]="a",HostBuild[Existing CPUs],0)+HostBuild[CPU],IF(INDEX([1]!Product_Pricing_Table[#Data],MATCH(DX$1,Products,0),2)="Per Server",IF(OR(AND(HostBuild[Existing Server?]="Yes - Outside this BoM", HostBuild[Use existing server config towards SW Licensing?]="a"),ISNUMBER(HostBuild[CPU])),IF(HostBuild[CPU]&gt;0,1,IF(HostBuild[CPU]&lt;0,-1,0)),0),0)))),0)</f>
        <v>0</v>
      </c>
      <c r="DY168" s="59">
        <f>IFERROR(IF(FIND(DY$1,$W168)&gt;0,IF(INDEX([1]!Product_Pricing_Table[#Data],MATCH(DY$1,Products,0),2)="Cores",IF(HostBuild[Use existing server config towards SW Licensing?]="a",HostBuild[Existing Cores],0)+HostBuild[Cores 
(Licensed Units)],IF(INDEX([1]!Product_Pricing_Table[#Data],MATCH(DY$1,Products,0),2)="CPU",IF(HostBuild[Use existing server config towards SW Licensing?]="a",HostBuild[Existing CPUs],0)+HostBuild[CPU],IF(INDEX([1]!Product_Pricing_Table[#Data],MATCH(DY$1,Products,0),2)="Per Server",IF(OR(AND(HostBuild[Existing Server?]="Yes - Outside this BoM", HostBuild[Use existing server config towards SW Licensing?]="a"),ISNUMBER(HostBuild[CPU])),IF(HostBuild[CPU]&gt;0,1,IF(HostBuild[CPU]&lt;0,-1,0)),0),0)))),0)</f>
        <v>0</v>
      </c>
      <c r="DZ168" s="59">
        <f>IFERROR(IF(FIND(DZ$1,$W168)&gt;0,IF(INDEX([1]!Product_Pricing_Table[#Data],MATCH(DZ$1,Products,0),2)="Cores",IF(HostBuild[Use existing server config towards SW Licensing?]="a",HostBuild[Existing Cores],0)+HostBuild[Cores 
(Licensed Units)],IF(INDEX([1]!Product_Pricing_Table[#Data],MATCH(DZ$1,Products,0),2)="CPU",IF(HostBuild[Use existing server config towards SW Licensing?]="a",HostBuild[Existing CPUs],0)+HostBuild[CPU],IF(INDEX([1]!Product_Pricing_Table[#Data],MATCH(DZ$1,Products,0),2)="Per Server",IF(OR(AND(HostBuild[Existing Server?]="Yes - Outside this BoM", HostBuild[Use existing server config towards SW Licensing?]="a"),ISNUMBER(HostBuild[CPU])),IF(HostBuild[CPU]&gt;0,1,IF(HostBuild[CPU]&lt;0,-1,0)),0),0)))),0)</f>
        <v>0</v>
      </c>
      <c r="EA168" s="59">
        <f>IFERROR(IF(FIND(EA$1,$W168)&gt;0,IF(INDEX([1]!Product_Pricing_Table[#Data],MATCH(EA$1,Products,0),2)="Cores",IF(HostBuild[Use existing server config towards SW Licensing?]="a",HostBuild[Existing Cores],0)+HostBuild[Cores 
(Licensed Units)],IF(INDEX([1]!Product_Pricing_Table[#Data],MATCH(EA$1,Products,0),2)="CPU",IF(HostBuild[Use existing server config towards SW Licensing?]="a",HostBuild[Existing CPUs],0)+HostBuild[CPU],IF(INDEX([1]!Product_Pricing_Table[#Data],MATCH(EA$1,Products,0),2)="Per Server",IF(OR(AND(HostBuild[Existing Server?]="Yes - Outside this BoM", HostBuild[Use existing server config towards SW Licensing?]="a"),ISNUMBER(HostBuild[CPU])),IF(HostBuild[CPU]&gt;0,1,IF(HostBuild[CPU]&lt;0,-1,0)),0),0)))),0)</f>
        <v>0</v>
      </c>
      <c r="EB168" s="59">
        <f>IFERROR(IF(FIND(EB$1,$W168)&gt;0,IF(INDEX([1]!Product_Pricing_Table[#Data],MATCH(EB$1,Products,0),2)="Cores",IF(HostBuild[Use existing server config towards SW Licensing?]="a",HostBuild[Existing Cores],0)+HostBuild[Cores 
(Licensed Units)],IF(INDEX([1]!Product_Pricing_Table[#Data],MATCH(EB$1,Products,0),2)="CPU",IF(HostBuild[Use existing server config towards SW Licensing?]="a",HostBuild[Existing CPUs],0)+HostBuild[CPU],IF(INDEX([1]!Product_Pricing_Table[#Data],MATCH(EB$1,Products,0),2)="Per Server",IF(OR(AND(HostBuild[Existing Server?]="Yes - Outside this BoM", HostBuild[Use existing server config towards SW Licensing?]="a"),ISNUMBER(HostBuild[CPU])),IF(HostBuild[CPU]&gt;0,1,IF(HostBuild[CPU]&lt;0,-1,0)),0),0)))),0)</f>
        <v>0</v>
      </c>
      <c r="EC168" s="60">
        <f>IFERROR(IF(FIND(EC$1,$W168)&gt;0,IF(INDEX([1]!Product_Pricing_Table[#Data],MATCH(EC$1,Products,0),2)="Cores",IF(HostBuild[Use existing server config towards SW Licensing?]="a",HostBuild[Existing Cores],0)+HostBuild[Cores 
(Licensed Units)],IF(INDEX([1]!Product_Pricing_Table[#Data],MATCH(EC$1,Products,0),2)="CPU",IF(HostBuild[Use existing server config towards SW Licensing?]="a",HostBuild[Existing CPUs],0)+HostBuild[CPU],IF(INDEX([1]!Product_Pricing_Table[#Data],MATCH(EC$1,Products,0),2)="Per Server",IF(OR(AND(HostBuild[Existing Server?]="Yes - Outside this BoM", HostBuild[Use existing server config towards SW Licensing?]="a"),ISNUMBER(HostBuild[CPU])),IF(HostBuild[CPU]&gt;0,1,IF(HostBuild[CPU]&lt;0,-1,0)),0),0)))),0)</f>
        <v>0</v>
      </c>
      <c r="ED168" s="59">
        <f>IFERROR(IF(FIND(ED$1,$W168)&gt;0,IF(INDEX([1]!Product_Pricing_Table[#Data],MATCH(ED$1,Products,0),2)="Cores",IF(HostBuild[Use existing server config towards SW Licensing?]="a",HostBuild[Existing Cores],0)+HostBuild[Cores 
(Licensed Units)],IF(INDEX([1]!Product_Pricing_Table[#Data],MATCH(ED$1,Products,0),2)="CPU",IF(HostBuild[Use existing server config towards SW Licensing?]="a",HostBuild[Existing CPUs],0)+HostBuild[CPU],IF(INDEX([1]!Product_Pricing_Table[#Data],MATCH(ED$1,Products,0),2)="Per Server",IF(OR(AND(HostBuild[Existing Server?]="Yes - Outside this BoM", HostBuild[Use existing server config towards SW Licensing?]="a"),ISNUMBER(HostBuild[CPU])),IF(HostBuild[CPU]&gt;0,1,IF(HostBuild[CPU]&lt;0,-1,0)),0),0)))),0)</f>
        <v>0</v>
      </c>
      <c r="EE168" s="59">
        <f>IFERROR(IF(FIND(EE$1,$W168)&gt;0,IF(INDEX([1]!Product_Pricing_Table[#Data],MATCH(EE$1,Products,0),2)="Cores",IF(HostBuild[Use existing server config towards SW Licensing?]="a",HostBuild[Existing Cores],0)+HostBuild[Cores 
(Licensed Units)],IF(INDEX([1]!Product_Pricing_Table[#Data],MATCH(EE$1,Products,0),2)="CPU",IF(HostBuild[Use existing server config towards SW Licensing?]="a",HostBuild[Existing CPUs],0)+HostBuild[CPU],IF(INDEX([1]!Product_Pricing_Table[#Data],MATCH(EE$1,Products,0),2)="Per Server",IF(OR(AND(HostBuild[Existing Server?]="Yes - Outside this BoM", HostBuild[Use existing server config towards SW Licensing?]="a"),ISNUMBER(HostBuild[CPU])),IF(HostBuild[CPU]&gt;0,1,IF(HostBuild[CPU]&lt;0,-1,0)),0),0)))),0)</f>
        <v>0</v>
      </c>
      <c r="EF168" s="59">
        <f>IFERROR(IF(FIND(EF$1,$W168)&gt;0,IF(INDEX([1]!Product_Pricing_Table[#Data],MATCH(EF$1,Products,0),2)="Cores",IF(HostBuild[Use existing server config towards SW Licensing?]="a",HostBuild[Existing Cores],0)+HostBuild[Cores 
(Licensed Units)],IF(INDEX([1]!Product_Pricing_Table[#Data],MATCH(EF$1,Products,0),2)="CPU",IF(HostBuild[Use existing server config towards SW Licensing?]="a",HostBuild[Existing CPUs],0)+HostBuild[CPU],IF(INDEX([1]!Product_Pricing_Table[#Data],MATCH(EF$1,Products,0),2)="Per Server",IF(OR(AND(HostBuild[Existing Server?]="Yes - Outside this BoM", HostBuild[Use existing server config towards SW Licensing?]="a"),ISNUMBER(HostBuild[CPU])),IF(HostBuild[CPU]&gt;0,1,IF(HostBuild[CPU]&lt;0,-1,0)),0),0)))),0)</f>
        <v>0</v>
      </c>
      <c r="EG168" s="59">
        <f>IFERROR(IF(FIND(EG$1,$W168)&gt;0,IF(INDEX([1]!Product_Pricing_Table[#Data],MATCH(EG$1,Products,0),2)="Cores",IF(HostBuild[Use existing server config towards SW Licensing?]="a",HostBuild[Existing Cores],0)+HostBuild[Cores 
(Licensed Units)],IF(INDEX([1]!Product_Pricing_Table[#Data],MATCH(EG$1,Products,0),2)="CPU",IF(HostBuild[Use existing server config towards SW Licensing?]="a",HostBuild[Existing CPUs],0)+HostBuild[CPU],IF(INDEX([1]!Product_Pricing_Table[#Data],MATCH(EG$1,Products,0),2)="Per Server",IF(OR(AND(HostBuild[Existing Server?]="Yes - Outside this BoM", HostBuild[Use existing server config towards SW Licensing?]="a"),ISNUMBER(HostBuild[CPU])),IF(HostBuild[CPU]&gt;0,1,IF(HostBuild[CPU]&lt;0,-1,0)),0),0)))),0)</f>
        <v>0</v>
      </c>
      <c r="EH168" s="59">
        <f>IFERROR(IF(FIND(EH$1,$W168)&gt;0,IF(INDEX([1]!Product_Pricing_Table[#Data],MATCH(EH$1,Products,0),2)="Cores",IF(HostBuild[Use existing server config towards SW Licensing?]="a",HostBuild[Existing Cores],0)+HostBuild[Cores 
(Licensed Units)],IF(INDEX([1]!Product_Pricing_Table[#Data],MATCH(EH$1,Products,0),2)="CPU",IF(HostBuild[Use existing server config towards SW Licensing?]="a",HostBuild[Existing CPUs],0)+HostBuild[CPU],IF(INDEX([1]!Product_Pricing_Table[#Data],MATCH(EH$1,Products,0),2)="Per Server",IF(OR(AND(HostBuild[Existing Server?]="Yes - Outside this BoM", HostBuild[Use existing server config towards SW Licensing?]="a"),ISNUMBER(HostBuild[CPU])),IF(HostBuild[CPU]&gt;0,1,IF(HostBuild[CPU]&lt;0,-1,0)),0),0)))),0)</f>
        <v>0</v>
      </c>
      <c r="EI168" s="59">
        <f>IFERROR(IF(FIND(EI$1,$W168)&gt;0,IF(INDEX([1]!Product_Pricing_Table[#Data],MATCH(EI$1,Products,0),2)="Cores",IF(HostBuild[Use existing server config towards SW Licensing?]="a",HostBuild[Existing Cores],0)+HostBuild[Cores 
(Licensed Units)],IF(INDEX([1]!Product_Pricing_Table[#Data],MATCH(EI$1,Products,0),2)="CPU",IF(HostBuild[Use existing server config towards SW Licensing?]="a",HostBuild[Existing CPUs],0)+HostBuild[CPU],IF(INDEX([1]!Product_Pricing_Table[#Data],MATCH(EI$1,Products,0),2)="Per Server",IF(OR(AND(HostBuild[Existing Server?]="Yes - Outside this BoM", HostBuild[Use existing server config towards SW Licensing?]="a"),ISNUMBER(HostBuild[CPU])),IF(HostBuild[CPU]&gt;0,1,IF(HostBuild[CPU]&lt;0,-1,0)),0),0)))),0)</f>
        <v>0</v>
      </c>
      <c r="EJ168" s="59">
        <f>IFERROR(IF(FIND(EJ$1,$W168)&gt;0,IF(INDEX([1]!Product_Pricing_Table[#Data],MATCH(EJ$1,Products,0),2)="Cores",IF(HostBuild[Use existing server config towards SW Licensing?]="a",HostBuild[Existing Cores],0)+HostBuild[Cores 
(Licensed Units)],IF(INDEX([1]!Product_Pricing_Table[#Data],MATCH(EJ$1,Products,0),2)="CPU",IF(HostBuild[Use existing server config towards SW Licensing?]="a",HostBuild[Existing CPUs],0)+HostBuild[CPU],IF(INDEX([1]!Product_Pricing_Table[#Data],MATCH(EJ$1,Products,0),2)="Per Server",IF(OR(AND(HostBuild[Existing Server?]="Yes - Outside this BoM", HostBuild[Use existing server config towards SW Licensing?]="a"),ISNUMBER(HostBuild[CPU])),IF(HostBuild[CPU]&gt;0,1,IF(HostBuild[CPU]&lt;0,-1,0)),0),0)))),0)</f>
        <v>0</v>
      </c>
      <c r="EK168" s="60">
        <f>IFERROR(IF(FIND(EK$1,$W168)&gt;0,IF(INDEX([1]!Product_Pricing_Table[#Data],MATCH(EK$1,Products,0),2)="Cores",IF(HostBuild[Use existing server config towards SW Licensing?]="a",HostBuild[Existing Cores],0)+HostBuild[Cores 
(Licensed Units)],IF(INDEX([1]!Product_Pricing_Table[#Data],MATCH(EK$1,Products,0),2)="CPU",IF(HostBuild[Use existing server config towards SW Licensing?]="a",HostBuild[Existing CPUs],0)+HostBuild[CPU],IF(INDEX([1]!Product_Pricing_Table[#Data],MATCH(EK$1,Products,0),2)="Per Server",IF(OR(AND(HostBuild[Existing Server?]="Yes - Outside this BoM", HostBuild[Use existing server config towards SW Licensing?]="a"),ISNUMBER(HostBuild[CPU])),IF(HostBuild[CPU]&gt;0,1,IF(HostBuild[CPU]&lt;0,-1,0)),0),0)))),0)</f>
        <v>0</v>
      </c>
      <c r="EL168" s="61"/>
      <c r="EM168" s="62"/>
      <c r="EN168" s="150"/>
      <c r="EO168" s="64">
        <f>IF(OR(ISBLANK(HostBuild[Alias]),HostBuild[Server Tier]="",),0,IF(HostBuild[Server Tier]="SafeNet",Safenet_PSE_PL600+HostBuild[Network Cost],IF(HostBuild[Server Tier]="VMware",HostBuild[New VMware (Adjusted)]+HostBuild[Initial Server Cost],IF(HostBuild[Server Tier]="XI52",IBM_DIA_XI52,HostBuild[Initial Server Cost]))))</f>
        <v>0</v>
      </c>
      <c r="EP168" s="151">
        <f>(Storage_DC_SAN_2014*HostBuild[SAN (GB)
End-State
DO NOT USE TO BUILD]+IF(HostBuild[SAN (GB) Shared]&gt;=0,CEILING(HostBuild[SAN (GB) Shared],LUN),CEILING(-HostBuild[SAN (GB) Shared],LUN)*-1))+(Storage_DC_NAS_2014*(SUM(HostBuild[[#This Row],[NAS (GB) Dedicated]]:HostBuild[[#This Row],[NAS 
(GB) Shared]])))+IF(HostBuild[Require SRDF?]="Yes",Storage_Net_HW_Replication_2014*(HostBuild[SAN (GB)
End-State
DO NOT USE TO BUILD]+CEILING(HostBuild[SAN (GB) Shared],LUN)+SUM(HostBuild[[#This Row],[NAS 
(GB) Shared]]:HostBuild[[#This Row],[NAS (GB) Dedicated]])),0)</f>
        <v>0</v>
      </c>
      <c r="EQ168" s="151">
        <f>(HostBuild[Archive
Full (GB)]+HostBuild[Archive
Incr (GB)])*Storage_DC_Dist_Tape_2014</f>
        <v>0</v>
      </c>
      <c r="ER168" s="151">
        <f>IF(ISNUMBER(HostBuild[Server HW Costs
(Monthly)]),SUM(HostBuild[[#This Row],[Server HW Costs
(Monthly)]:[Tape Costs
(Monthly)]]),0)</f>
        <v>0</v>
      </c>
      <c r="ES168" s="152">
        <f>HostBuild[Software Costs
'[Year 1']
(Monthly)]+HostBuild[Total Hardware Costs
(Monthly)]</f>
        <v>0</v>
      </c>
      <c r="ET168" s="152">
        <f>IFERROR(IF(FIND("Safenet",HostBuild[Server Model]),Safenet_PSE_PL600_Maint,0),0)+IFERROR(IF(FIND("XI52",HostBuild[Server Model]),IBM_DIA_XI52_Maint,0),0)+HostBuild[Software Costs
'[After Year 1']
(Monthly)]+HostBuild[Total Hardware Costs
(Monthly)]</f>
        <v>0</v>
      </c>
      <c r="EU168" s="153">
        <f>SUM(HostBuild[[#This Row],[Server Cost Breakdown]:[Network Cost]])</f>
        <v>0</v>
      </c>
      <c r="EV168" s="154">
        <f>IF(HostBuild[Existing Server?]="Yes - Inside this BoM",0,SUMIF(HostBuild[Alias],HostBuild[Alias],HostBuild[CPU])+SUMIF(HostBuild[Alias],HostBuild[Alias],HostBuild[Existing CPUs]))</f>
        <v>0</v>
      </c>
      <c r="EW168" s="154">
        <f>IF(HostBuild[Existing Server?]="Yes - Inside this BoM",0,SUMIF(HostBuild[Alias],HostBuild[Alias],HostBuild[Cores 
(Licensed Units)])+SUMIF(HostBuild[Alias],HostBuild[Alias],HostBuild[Existing Cores]))</f>
        <v>0</v>
      </c>
      <c r="EX168" s="154">
        <f>IF(HostBuild[Existing Server?]="Yes - Inside this BoM",0,SUMIF(HostBuild[Alias],HostBuild[Alias],HostBuild[RAM 
(GB)])+SUMIF(HostBuild[Alias],HostBuild[Alias],HostBuild[Existing RAM (GB)]))</f>
        <v>0</v>
      </c>
      <c r="EY168" s="153">
        <f>IF(AND(HostBuild[Server Type]="VMware",HostBuild[Virtual Platform Storage Type]="Full"),IF(HostBuild[Total CPUs]&gt;8, "Max CPUs Exceeded",IF(HostBuild[Total CPUs]&lt;=1,VM_Guest_Tier_1_2014,IF(AND(HostBuild[Total CPUs]&gt;1,HostBuild[Total CPUs]&lt;=2),VM_Guest_Tier_2_2014,IF(AND(HostBuild[Total CPUs]&gt;2,HostBuild[Total CPUs]&lt;=4),VM_Guest_Tier_3_2014,IF(AND(HostBuild[Total CPUs]&gt;4,HostBuild[Total CPUs]&lt;=8),VM_Guest_Tier_4_2014,0))))),0)</f>
        <v>0</v>
      </c>
      <c r="EZ168" s="155">
        <f>IF(AND(LEFT(HostBuild[Existing Server?],3)="Yes",HostBuild[Server Tier]="VMware"),IF(HostBuild[Existing CPUs]&gt;0,IF(HostBuild[Existing CPUs]&lt;=1,VM_Guest_Tier_1_2014,IF(AND(HostBuild[Existing CPUs]&gt;1,HostBuild[Existing CPUs]&lt;=2),VM_Guest_Tier_2_2014,IF(AND(HostBuild[Existing CPUs]&gt;2,HostBuild[Existing CPUs]&lt;=4),VM_Guest_Tier_3_2014,IF(AND(HostBuild[Existing CPUs]&gt;4,HostBuild[Existing CPUs]&lt;=8),VM_Guest_Tier_4_2014,0)))),0),0)</f>
        <v>0</v>
      </c>
      <c r="FA168" s="153">
        <f>IF(AND(LEFT(HostBuild[Existing Server?],3)="Yes",HostBuild[Server Type]="VMware"),IF(HostBuild[Total CPUs]-HostBuild[CPU]&lt;=1,VM_Guest_Tier_1_2014,IF(AND((HostBuild[Total CPUs]-HostBuild[CPU])&gt;1,(HostBuild[Total CPUs]-HostBuild[CPU])&lt;=2),VM_Guest_Tier_2_2014,IF(AND((HostBuild[Total CPUs]-HostBuild[CPU])&gt;2,(HostBuild[Total CPUs]-HostBuild[CPU])&lt;=4),VM_Guest_Tier_3_2014,IF(AND((HostBuild[Total CPUs]-HostBuild[CPU])&gt;4,(HostBuild[Total CPUs]-HostBuild[CPU])&lt;=8),VM_Guest_Tier_4_2014,0)))), 0)</f>
        <v>0</v>
      </c>
      <c r="FB168" s="153">
        <f>IF(AND(HostBuild[Server Tier]="VMware",HostBuild[CPU]&gt;0),IF(HostBuild[Total CPUs]&gt;8, "Max CPUs Exceeded",IF(HostBuild[Virtual Platform Storage Type]="Full-SAN",IF(LEFT(HostBuild[Existing Server?],3)="Yes",IF(COUNTIF(HostBuild[Alias],HostBuild[Alias])&lt;=2,IF(HostBuild[Outside VMware Costs]&gt;0,HostBuild[Existing VMware Costs]-HostBuild[Outside VMware Costs],(HostBuild[Total VMware Costs]-HostBuild[Existing VMware Costs])),NA()),IF(HostBuild[CPU]&lt;=1,VM_Guest_Tier_1_2014,IF(AND(HostBuild[CPU]&gt;1,HostBuild[CPU]&lt;=2),VM_Guest_Tier_2_2014,IF(AND(HostBuild[CPU]&gt;2,HostBuild[CPU]&lt;=4),VM_Guest_Tier_3_2014,IF(AND(HostBuild[CPU]&gt;4,HostBuild[CPU]&lt;=8),VM_Guest_Tier_4_2014,0))))),VM_SS_per_vCPU_Daily_2014*30*HostBuild[CPU])),0)</f>
        <v>0</v>
      </c>
      <c r="FC168" s="153">
        <f>IF(ISBLANK(HostBuild[Server Model]),0,IF(HostBuild[Server Tier]="VMware",0,VLOOKUP(HostBuild[Server Tier],[1]!ServerTierRates[#Data],2,0))*HostBuild[CPU]*IF(AND(HostBuild[Server Type]="pSeries",HostBuild[Virtual Platform Storage Type]="Cloud-SAN"),0.25,1))</f>
        <v>0</v>
      </c>
      <c r="FD168" s="153">
        <f>0</f>
        <v>0</v>
      </c>
      <c r="FE168" s="153">
        <f>IF(HostBuild[Server Type]="VMware",HostBuild[RAM 
(GB)]*IF(ISERROR(FIND("DevCloud", HostBuild[Server Model])&gt;0),vRAM_per_vCPU_2014_Monthly,vRAM_per_vCPU_2014_Daily*30),0)</f>
        <v>0</v>
      </c>
      <c r="FF168" s="153">
        <f>IF(HostBuild[RAM 
(GB)]&gt;0,IF(AND((HostBuild[Existing CPUs]+HostBuild[CPU])&gt;0, (HostBuild[Existing RAM (GB)]+HostBuild[RAM 
(GB)])&gt;0,HostBuild[Existing Server?]&lt;&gt;"Yes - Inside this BoM"),IF(HostBuild[Server Type]="x86",IF((HostBuild[Existing RAM (GB)]+HostBuild[RAM 
(GB)])&gt;(HostBuild[Existing CPUs]+HostBuild[CPU])*12,((HostBuild[Existing RAM (GB)]+HostBuild[RAM 
(GB)])-(12*(HostBuild[Existing CPUs]+HostBuild[CPU])))*x86_Memory_GT12Win_GT8Unix_2014,0),IF(HostBuild[Server Type]="pSeries",IF((HostBuild[Existing RAM (GB)]+HostBuild[RAM 
(GB)])&gt;(HostBuild[Existing CPUs]+HostBuild[CPU])*16,((HostBuild[Existing RAM (GB)]+HostBuild[RAM 
(GB)])-(16*(HostBuild[Existing CPUs]+HostBuild[CPU])))*IBM_pSeries_Memory_per_GB_gt_16GB_2014,0),IF(HostBuild[Server Type]="Sun",IF((HostBuild[Existing RAM (GB)]+HostBuild[RAM 
(GB)])&gt;(HostBuild[Existing CPUs]+HostBuild[CPU])*8,((HostBuild[Existing RAM (GB)]+HostBuild[RAM 
(GB)])-(8*(HostBuild[Existing CPUs]+HostBuild[CPU])))*IF(LOOKUP(HostBuild[Server Tier],[1]!ServerModelsTier[Server Tier],[1]!ServerModelsTier[Memory Tier])="Low",Sun_ESeries_Low_Mem_GT_8_2014,Sun_TSeries_High_Mem_GT_8_2014)),0))), 0),0)</f>
        <v>0</v>
      </c>
      <c r="FG168" s="153">
        <f>IF(AND(HostBuild[RAM 
(GB)]&gt;0,HostBuild[Existing Server?]="Yes - Inside this BoM"),IF(HostBuild[Server Type]="x86",HostBuild[Total RAM]*x86_Memory_GT12Win_GT8Unix_2014,IF(HostBuild[Server Type]="pSeries",IF(SUMIF(HostBuild[Alias],HostBuild[Alias],HostBuild[Total RAM])/SUMIF(HostBuild[Alias],HostBuild[Alias],HostBuild[Total CPUs])&gt;16,((SUMIF(HostBuild[Alias],HostBuild[Alias],HostBuild[Total RAM])/SUMIF(HostBuild[Alias],HostBuild[Alias],HostBuild[Total CPUs]))-16)*SUMIF(HostBuild[Alias],HostBuild[Alias],HostBuild[Total CPUs])*IBM_pSeries_Memory_per_GB_gt_16GB_2014,0),IF(HostBuild[Server Type]="Sun",IF(SUMIF(HostBuild[Alias],HostBuild[Alias],HostBuild[Total RAM])/SUMIF(HostBuild[Alias],HostBuild[Alias],HostBuild[Total CPUs])&gt;12,((SUMIF(HostBuild[Alias],HostBuild[Alias],HostBuild[Total RAM])/SUMIF(HostBuild[Alias],HostBuild[Alias],HostBuild[Total CPUs]))-8)*SUMIF(HostBuild[Alias],HostBuild[Alias],HostBuild[Total CPUs])*IF(VLOOKUP(HostBuild[Server Model],[1]!ServerModelsTier[#Data],3,FALSE)="Low",Sun_ESeries_Low_Mem_GT_8_2014,Sun_TSeries_High_Mem_GT_8_2014)),0)))-SUMIF(HostBuild[Alias],HostBuild[Alias],HostBuild[New Memory Cost (Initial)]),0)</f>
        <v>0</v>
      </c>
      <c r="FH168" s="156">
        <f>IF(HostBuild[Server Tier]="VMware",0,IF(LEFT(HostBuild[Existing Server?],3)="Yes",0,IF(OR(HostBuild[Server Type]="Sun",HostBuild[Server Type]="pSeries"),Support_Direct_Server_Sun_per_OS_2014,IF(HostBuild[Server Type]="x86",Support_Direct_Server_x86_Wintel_per_OS_2014,0))))</f>
        <v>0</v>
      </c>
      <c r="FI168" s="155">
        <f>IF(HostBuild[Server Model]="VMware",0,IF(ISBLANK(HostBuild[Type of Network Connection I]),0,VLOOKUP(HostBuild[Type of Network Connection I],[1]!NetworkRates[#Data],2,0)*HostBuild['# of Connections I])+IF(ISBLANK(HostBuild[Type of Network Connection II]),0,VLOOKUP(HostBuild[Type of Network Connection II],[1]!NetworkRates[#Data],2,0)*HostBuild['# of Connections II]))</f>
        <v>0</v>
      </c>
    </row>
    <row r="169" spans="1:165">
      <c r="A169" s="70" t="s">
        <v>377</v>
      </c>
      <c r="B169" s="70"/>
      <c r="C169" s="70"/>
      <c r="D169" s="70"/>
      <c r="E169" s="70"/>
      <c r="F169" s="70"/>
      <c r="G169" s="70"/>
      <c r="H169" s="70"/>
      <c r="I169" s="70"/>
      <c r="J169" s="70"/>
      <c r="K169" s="70"/>
      <c r="L169" s="70"/>
      <c r="M169" s="70"/>
      <c r="N169" s="71"/>
      <c r="O169" s="72"/>
      <c r="P169" s="72"/>
      <c r="Q169" s="72"/>
      <c r="R169" s="73"/>
      <c r="S169" s="71"/>
      <c r="T169" s="71"/>
      <c r="U169" s="71"/>
      <c r="V169" s="71"/>
      <c r="W169" s="71"/>
      <c r="X169" s="71"/>
      <c r="Y169" s="71"/>
      <c r="Z169" s="71"/>
      <c r="AA169" s="71"/>
      <c r="AB169" s="71"/>
      <c r="AC169" s="74"/>
      <c r="AD169" s="74"/>
      <c r="AE169" s="74"/>
      <c r="AF169" s="74"/>
      <c r="AG169" s="75"/>
      <c r="AH169" s="76"/>
      <c r="AI169" s="75">
        <f t="array" ref="AI169">SUM(IF(FREQUENCY(IF(LEN(AI2:AI168)&gt;0,MATCH(AI2:AI168,AI2:AI168,0),""),IF(LEN(AI2:AI168)&gt;0,MATCH(AI2:AI168,AI2:AI168,0),""))&gt;0,1))</f>
        <v>153</v>
      </c>
      <c r="AJ169" s="75"/>
      <c r="AK169" s="77"/>
      <c r="AL169" s="77"/>
      <c r="AM169" s="77"/>
      <c r="AN169" s="77"/>
      <c r="AO169" s="77"/>
      <c r="AP169" s="77"/>
      <c r="AQ169" s="77"/>
      <c r="AR169" s="78">
        <f>SUBTOTAL(109,HostBuild[CPU])</f>
        <v>14</v>
      </c>
      <c r="AS169" s="77"/>
      <c r="AT169" s="79">
        <f>SUBTOTAL(109,HostBuild[Cores 
(Licensed Units)])</f>
        <v>99</v>
      </c>
      <c r="AU169" s="80"/>
      <c r="AV169" s="81">
        <f>SUBTOTAL(109,HostBuild[RAM 
(GB)])</f>
        <v>832</v>
      </c>
      <c r="AW169" s="71"/>
      <c r="AX169" s="71"/>
      <c r="AY169" s="71"/>
      <c r="AZ169" s="82"/>
      <c r="BA169" s="77"/>
      <c r="BB169" s="77"/>
      <c r="BC169" s="74"/>
      <c r="BD169" s="83"/>
      <c r="BE169" s="83"/>
      <c r="BF169" s="83"/>
      <c r="BG169" s="83"/>
      <c r="BH169" s="83"/>
      <c r="BI169" s="83"/>
      <c r="BJ169" s="84"/>
      <c r="BK169" s="76"/>
      <c r="BL169" s="85"/>
      <c r="BM169" s="78">
        <f>SUBTOTAL(109,HostBuild[SAN (GB)
NEEDED TODAY])</f>
        <v>8526.1000000000022</v>
      </c>
      <c r="BN169" s="78">
        <f>SUBTOTAL(109,HostBuild[SAN (GB)
RESERVED
DO NOT USE TO BUILD])</f>
        <v>0</v>
      </c>
      <c r="BO169" s="86">
        <f>SUBTOTAL(109,HostBuild[SAN (GB)
End-State
DO NOT USE TO BUILD])</f>
        <v>8526.1000000000022</v>
      </c>
      <c r="BP169" s="86"/>
      <c r="BQ169" s="86"/>
      <c r="BR169" s="87"/>
      <c r="BS169" s="76"/>
      <c r="BT169" s="78"/>
      <c r="BU169" s="88">
        <f>SUBTOTAL(109,HostBuild[NAS (GB) Dedicated])</f>
        <v>0</v>
      </c>
      <c r="BV169" s="78">
        <f>SUBTOTAL(109,HostBuild[NAS 
(GB) Shared])</f>
        <v>0</v>
      </c>
      <c r="BW169" s="86"/>
      <c r="BX169" s="76">
        <f>SUBTOTAL(109,HostBuild[Archive
Full (GB)])</f>
        <v>2131.5250000000005</v>
      </c>
      <c r="BY169" s="86">
        <f>SUBTOTAL(109,HostBuild[Archive
Incr (GB)])</f>
        <v>319.72874999999999</v>
      </c>
      <c r="BZ169" s="76"/>
      <c r="CA169" s="78"/>
      <c r="CB169" s="78"/>
      <c r="CC169" s="86"/>
      <c r="CD169" s="78"/>
      <c r="CE169" s="78"/>
      <c r="CF169" s="73"/>
      <c r="CG169" s="89"/>
      <c r="CH169" s="90">
        <f>SUBTOTAL(109,HostBuild[Capital Costs
(One-Time)])</f>
        <v>0</v>
      </c>
      <c r="CI169" s="90">
        <f>SUBTOTAL(109,HostBuild[Capital Costs
(Annual)])</f>
        <v>0</v>
      </c>
      <c r="CJ169" s="91"/>
      <c r="CK169" s="92"/>
      <c r="CL169" s="93">
        <f>SUBTOTAL(109,CL2:CL168)</f>
        <v>0</v>
      </c>
      <c r="CM169" s="93">
        <f>SUBTOTAL(109,HostBuild[CA APM])</f>
        <v>0</v>
      </c>
      <c r="CN169" s="94">
        <f>SUBTOTAL(109,CN2:CN168)</f>
        <v>0</v>
      </c>
      <c r="CO169" s="94">
        <f>SUBTOTAL(109,CO2:CO168)</f>
        <v>0</v>
      </c>
      <c r="CP169" s="93">
        <f>SUBTOTAL(109,CP2:CP168)</f>
        <v>0</v>
      </c>
      <c r="CQ169" s="93">
        <f>SUBTOTAL(109,CQ2:CQ168)</f>
        <v>0</v>
      </c>
      <c r="CR169" s="93">
        <f>SUBTOTAL(109,CR2:CR168)</f>
        <v>0</v>
      </c>
      <c r="CS169" s="93">
        <f>SUBTOTAL(109,HostBuild[IBM DS IS Dir])</f>
        <v>0</v>
      </c>
      <c r="CT169" s="93">
        <f>SUBTOTAL(109,HostBuild[IBM HTTP pSeries])</f>
        <v>0</v>
      </c>
      <c r="CU169" s="93">
        <f>SUBTOTAL(109,HostBuild[IBM HTTP x86])</f>
        <v>0</v>
      </c>
      <c r="CV169" s="93">
        <f>SUBTOTAL(109,HostBuild[IBM Tivoli DS])</f>
        <v>0</v>
      </c>
      <c r="CW169" s="93">
        <f>SUBTOTAL(109,CW2:CW168)</f>
        <v>0</v>
      </c>
      <c r="CX169" s="95">
        <f>SUBTOTAL(109,CX2:CX168)</f>
        <v>0</v>
      </c>
      <c r="CY169" s="95">
        <f>SUBTOTAL(109,HostBuild[IBM WBM pSeries])</f>
        <v>0</v>
      </c>
      <c r="CZ169" s="93">
        <f>SUBTOTAL(109,CZ2:CZ168)</f>
        <v>0</v>
      </c>
      <c r="DA169" s="93">
        <f>SUBTOTAL(109,DA2:DA168)</f>
        <v>0</v>
      </c>
      <c r="DB169" s="93">
        <f>SUBTOTAL(109,DB2:DB168)</f>
        <v>0</v>
      </c>
      <c r="DC169" s="93">
        <f>SUBTOTAL(109,HostBuild[IBM WS Process Srvr])</f>
        <v>0</v>
      </c>
      <c r="DD169" s="93">
        <f>SUBTOTAL(109,HostBuild[IBM WS VE (Cntrlr)])</f>
        <v>0</v>
      </c>
      <c r="DE169" s="93">
        <f>SUBTOTAL(109,HostBuild[IBM WS VE (Node)])</f>
        <v>0</v>
      </c>
      <c r="DF169" s="94">
        <f>SUBTOTAL(109,DF2:DF168)</f>
        <v>0</v>
      </c>
      <c r="DG169" s="94">
        <f>SUBTOTAL(109,HostBuild[MS SQL EE (Ext)])</f>
        <v>0</v>
      </c>
      <c r="DH169" s="94">
        <f>SUBTOTAL(109,DH2:DH168)</f>
        <v>0</v>
      </c>
      <c r="DI169" s="94">
        <f>SUBTOTAL(109,HostBuild[MS SQL SE (Ext)])</f>
        <v>0</v>
      </c>
      <c r="DJ169" s="94">
        <f t="shared" ref="DJ169:DW169" si="0">SUBTOTAL(109,DJ2:DJ168)</f>
        <v>0</v>
      </c>
      <c r="DK169" s="93">
        <f t="shared" si="0"/>
        <v>0</v>
      </c>
      <c r="DL169" s="93">
        <f t="shared" si="0"/>
        <v>0</v>
      </c>
      <c r="DM169" s="93">
        <f t="shared" si="0"/>
        <v>0</v>
      </c>
      <c r="DN169" s="93">
        <f t="shared" si="0"/>
        <v>0</v>
      </c>
      <c r="DO169" s="93">
        <f t="shared" si="0"/>
        <v>0</v>
      </c>
      <c r="DP169" s="93">
        <f t="shared" si="0"/>
        <v>0</v>
      </c>
      <c r="DQ169" s="93">
        <f t="shared" si="0"/>
        <v>0</v>
      </c>
      <c r="DR169" s="93">
        <f t="shared" si="0"/>
        <v>0</v>
      </c>
      <c r="DS169" s="93">
        <f t="shared" si="0"/>
        <v>0</v>
      </c>
      <c r="DT169" s="93">
        <f t="shared" si="0"/>
        <v>0</v>
      </c>
      <c r="DU169" s="93">
        <f t="shared" si="0"/>
        <v>0</v>
      </c>
      <c r="DV169" s="93">
        <f t="shared" si="0"/>
        <v>0</v>
      </c>
      <c r="DW169" s="93">
        <f t="shared" si="0"/>
        <v>0</v>
      </c>
      <c r="DX169" s="93">
        <f>SUBTOTAL(109,HostBuild[Oracle Spatial x86])</f>
        <v>0</v>
      </c>
      <c r="DY169" s="93">
        <f>SUBTOTAL(109,HostBuild[Oracle Standalone])</f>
        <v>0</v>
      </c>
      <c r="DZ169" s="93">
        <f>SUBTOTAL(109,HostBuild[Oracle WebLogic pSeries])</f>
        <v>0</v>
      </c>
      <c r="EA169" s="93">
        <f>SUBTOTAL(109,HostBuild[Oracle WebLogic x86])</f>
        <v>0</v>
      </c>
      <c r="EB169" s="93">
        <f>SUBTOTAL(109,EB2:EB168)</f>
        <v>0</v>
      </c>
      <c r="EC169" s="93">
        <f>SUBTOTAL(109,EC2:EC168)</f>
        <v>0</v>
      </c>
      <c r="ED169" s="94">
        <f>SUBTOTAL(109,ED2:ED168)</f>
        <v>0</v>
      </c>
      <c r="EE169" s="94">
        <f>SUBTOTAL(109,HostBuild[TIBCO Adapter SDK])</f>
        <v>0</v>
      </c>
      <c r="EF169" s="93">
        <f t="shared" ref="EF169:EK169" si="1">SUBTOTAL(109,EF2:EF168)</f>
        <v>0</v>
      </c>
      <c r="EG169" s="93">
        <f t="shared" si="1"/>
        <v>0</v>
      </c>
      <c r="EH169" s="93">
        <f t="shared" si="1"/>
        <v>0</v>
      </c>
      <c r="EI169" s="93">
        <f t="shared" si="1"/>
        <v>0</v>
      </c>
      <c r="EJ169" s="93">
        <f t="shared" si="1"/>
        <v>0</v>
      </c>
      <c r="EK169" s="94">
        <f t="shared" si="1"/>
        <v>0</v>
      </c>
      <c r="EL169" s="96"/>
      <c r="EM169" s="97">
        <f>SUBTOTAL(109,HostBuild[Software Costs
'[Year 1']
(Monthly)])</f>
        <v>7262.75</v>
      </c>
      <c r="EN169" s="98">
        <f>SUBTOTAL(109,HostBuild[Software Costs
'[After Year 1']
(Monthly)])</f>
        <v>1149.75</v>
      </c>
      <c r="EO169" s="99">
        <f>SUBTOTAL(109,EO2:EO168)</f>
        <v>7652.4</v>
      </c>
      <c r="EP169" s="90">
        <f>SUBTOTAL(109,EP2:EP168)</f>
        <v>3836.7450000000008</v>
      </c>
      <c r="EQ169" s="90">
        <f>SUBTOTAL(109,HostBuild[Tape Costs
(Monthly)])</f>
        <v>857.93881250000004</v>
      </c>
      <c r="ER169" s="90">
        <f>SUBTOTAL(109,ER2:ER168)</f>
        <v>12347.083812500001</v>
      </c>
      <c r="ES169" s="90">
        <f>SUBTOTAL(109,HostBuild[Total Server Costs
'[Year 1']
SW+HW
(Monthly)])</f>
        <v>19609.833812500001</v>
      </c>
      <c r="ET169" s="90">
        <f>SUBTOTAL(109,HostBuild[Total Server Costs
'[After Year 1']
SW+HW
(Monthly)])</f>
        <v>13496.833812500001</v>
      </c>
      <c r="EU169" s="100"/>
      <c r="EV169" s="101"/>
      <c r="EW169" s="101"/>
      <c r="EX169" s="101"/>
      <c r="EY169" s="101"/>
      <c r="EZ169" s="101"/>
      <c r="FA169" s="101"/>
      <c r="FB169" s="101"/>
      <c r="FC169" s="101"/>
      <c r="FD169" s="101"/>
      <c r="FE169" s="101"/>
      <c r="FF169" s="101"/>
      <c r="FG169" s="101"/>
      <c r="FH169" s="102"/>
      <c r="FI169" s="101"/>
    </row>
    <row r="170" spans="1:165">
      <c r="DN170" s="2"/>
      <c r="DO170" s="2"/>
    </row>
    <row r="171" spans="1:165">
      <c r="DN171" s="2"/>
      <c r="DO171" s="2"/>
    </row>
    <row r="172" spans="1:165">
      <c r="F172" s="2"/>
      <c r="M172" s="2"/>
      <c r="W172" s="159"/>
      <c r="AA172" s="160"/>
      <c r="AB172" s="160"/>
      <c r="AN172" s="161"/>
      <c r="CK172" s="8"/>
      <c r="CQ172" s="162"/>
      <c r="CU172" s="161"/>
      <c r="CX172" s="161"/>
      <c r="CY172" s="161"/>
      <c r="DE172" s="163"/>
      <c r="DF172" s="161"/>
      <c r="DN172" s="2"/>
      <c r="DO172" s="2"/>
      <c r="EC172" s="164"/>
    </row>
    <row r="173" spans="1:165">
      <c r="F173" s="2"/>
      <c r="G173" s="2"/>
      <c r="W173" s="159"/>
      <c r="AA173" s="160"/>
      <c r="AB173" s="160"/>
      <c r="AM173" s="2"/>
      <c r="CO173" s="162"/>
      <c r="CQ173" s="162"/>
      <c r="CS173" s="162"/>
      <c r="CT173" s="162"/>
      <c r="CU173" s="165"/>
      <c r="CW173" s="166"/>
      <c r="DE173" s="163"/>
      <c r="DF173" s="161"/>
      <c r="DN173" s="2"/>
      <c r="DO173" s="2"/>
    </row>
    <row r="174" spans="1:165">
      <c r="F174" s="2"/>
      <c r="G174" s="2"/>
      <c r="M174" s="167"/>
      <c r="U174" s="168"/>
      <c r="W174" s="159"/>
      <c r="AM174" s="2"/>
      <c r="BE174" s="169"/>
      <c r="CQ174" s="170"/>
      <c r="DE174" s="163"/>
      <c r="DF174" s="171"/>
      <c r="DN174" s="2"/>
      <c r="DO174" s="2"/>
    </row>
    <row r="175" spans="1:165">
      <c r="F175" s="2"/>
      <c r="G175" s="2"/>
      <c r="M175" s="167"/>
      <c r="AM175" s="2"/>
      <c r="CU175" s="164"/>
      <c r="CY175" s="172"/>
      <c r="CZ175" s="173"/>
      <c r="DI175" s="171"/>
      <c r="DN175" s="2"/>
      <c r="DO175" s="2"/>
    </row>
    <row r="176" spans="1:165">
      <c r="F176" s="2"/>
      <c r="G176" s="2"/>
      <c r="M176" s="167"/>
      <c r="AM176" s="2"/>
      <c r="CD176" s="2"/>
      <c r="DN176" s="2"/>
      <c r="DO176" s="2"/>
    </row>
    <row r="177" spans="6:119">
      <c r="F177" s="2"/>
      <c r="G177" s="2"/>
      <c r="L177" s="2"/>
      <c r="M177" s="167"/>
      <c r="AM177" s="2"/>
      <c r="CW177" s="161"/>
      <c r="CZ177" s="173"/>
      <c r="DN177" s="2"/>
      <c r="DO177" s="2"/>
    </row>
    <row r="178" spans="6:119">
      <c r="F178" s="2"/>
      <c r="G178" s="2"/>
      <c r="L178" s="2"/>
      <c r="M178" s="167"/>
      <c r="AM178" s="2"/>
      <c r="CZ178" s="173"/>
      <c r="DN178" s="2"/>
      <c r="DO178" s="2"/>
    </row>
    <row r="179" spans="6:119">
      <c r="F179" s="2"/>
      <c r="G179" s="2"/>
      <c r="L179" s="2"/>
      <c r="M179" s="167"/>
      <c r="AM179" s="2"/>
      <c r="DE179" s="174"/>
      <c r="DF179" s="175"/>
      <c r="DN179" s="2"/>
      <c r="DO179" s="2"/>
    </row>
    <row r="180" spans="6:119">
      <c r="G180" s="2"/>
      <c r="L180" s="2"/>
      <c r="M180" s="167"/>
      <c r="AM180" s="2"/>
      <c r="DN180" s="2"/>
      <c r="DO180" s="2"/>
    </row>
    <row r="181" spans="6:119">
      <c r="G181" s="2"/>
      <c r="L181" s="2"/>
      <c r="M181" s="167"/>
      <c r="AM181" s="2"/>
      <c r="DE181" s="175"/>
      <c r="DN181" s="2"/>
      <c r="DO181" s="2"/>
    </row>
    <row r="182" spans="6:119">
      <c r="G182" s="2"/>
      <c r="L182" s="2"/>
      <c r="M182" s="167"/>
      <c r="AM182" s="2"/>
      <c r="DE182" s="175"/>
      <c r="DG182" s="176"/>
      <c r="DL182" s="176"/>
      <c r="DM182" s="176"/>
      <c r="DN182" s="2"/>
      <c r="DO182" s="2"/>
    </row>
    <row r="183" spans="6:119">
      <c r="G183" s="2"/>
      <c r="L183" s="2"/>
      <c r="M183" s="167"/>
      <c r="AM183" s="2"/>
      <c r="DE183" s="175"/>
      <c r="DG183" s="175"/>
      <c r="DN183" s="2"/>
      <c r="DO183" s="2"/>
    </row>
    <row r="184" spans="6:119">
      <c r="G184" s="2"/>
      <c r="L184" s="2"/>
      <c r="M184" s="167"/>
      <c r="AM184" s="2"/>
      <c r="DE184" s="175"/>
      <c r="DG184" s="175"/>
      <c r="DN184" s="2"/>
      <c r="DO184" s="2"/>
    </row>
    <row r="185" spans="6:119">
      <c r="G185" s="2"/>
      <c r="L185" s="2"/>
      <c r="M185" s="167"/>
      <c r="AM185" s="2"/>
      <c r="DE185" s="175"/>
      <c r="DG185" s="177"/>
      <c r="DN185" s="2"/>
      <c r="DO185" s="2"/>
    </row>
    <row r="186" spans="6:119">
      <c r="L186" s="2"/>
      <c r="M186" s="167"/>
      <c r="AM186" s="2"/>
      <c r="DE186" s="175"/>
      <c r="DG186" s="177"/>
      <c r="DN186" s="2"/>
      <c r="DO186" s="2"/>
    </row>
    <row r="187" spans="6:119">
      <c r="L187" s="2"/>
      <c r="M187" s="167"/>
      <c r="AM187" s="2"/>
      <c r="DN187" s="2"/>
      <c r="DO187" s="2"/>
    </row>
    <row r="188" spans="6:119">
      <c r="AM188" s="2"/>
      <c r="DN188" s="2"/>
      <c r="DO188" s="2"/>
    </row>
    <row r="189" spans="6:119">
      <c r="AM189" s="2"/>
      <c r="DN189" s="2"/>
      <c r="DO189" s="2"/>
    </row>
    <row r="190" spans="6:119">
      <c r="DN190" s="2"/>
      <c r="DO190" s="2"/>
    </row>
    <row r="191" spans="6:119">
      <c r="DN191" s="2"/>
      <c r="DO191" s="2"/>
    </row>
    <row r="192" spans="6:119">
      <c r="DN192" s="2"/>
      <c r="DO192" s="2"/>
    </row>
    <row r="193" spans="118:119">
      <c r="DN193" s="2"/>
      <c r="DO193" s="2"/>
    </row>
    <row r="194" spans="118:119">
      <c r="DN194" s="2"/>
      <c r="DO194" s="2"/>
    </row>
    <row r="195" spans="118:119">
      <c r="DN195" s="2"/>
      <c r="DO195" s="2"/>
    </row>
    <row r="196" spans="118:119">
      <c r="DN196" s="2"/>
      <c r="DO196" s="2"/>
    </row>
    <row r="197" spans="118:119">
      <c r="DN197" s="2"/>
      <c r="DO197" s="2"/>
    </row>
    <row r="198" spans="118:119">
      <c r="DN198" s="2"/>
      <c r="DO198" s="2"/>
    </row>
    <row r="199" spans="118:119">
      <c r="DN199" s="2"/>
      <c r="DO199" s="2"/>
    </row>
    <row r="200" spans="118:119">
      <c r="DN200" s="2"/>
      <c r="DO200" s="2"/>
    </row>
    <row r="201" spans="118:119">
      <c r="DN201" s="2"/>
      <c r="DO201" s="2"/>
    </row>
    <row r="202" spans="118:119">
      <c r="DN202" s="2"/>
      <c r="DO202" s="2"/>
    </row>
    <row r="203" spans="118:119">
      <c r="DN203" s="2"/>
      <c r="DO203" s="2"/>
    </row>
    <row r="204" spans="118:119">
      <c r="DN204" s="2"/>
      <c r="DO204" s="2"/>
    </row>
    <row r="205" spans="118:119">
      <c r="DN205" s="2"/>
      <c r="DO205" s="2"/>
    </row>
    <row r="206" spans="118:119">
      <c r="DN206" s="2"/>
      <c r="DO206" s="2"/>
    </row>
    <row r="207" spans="118:119">
      <c r="DN207" s="2"/>
      <c r="DO207" s="2"/>
    </row>
    <row r="208" spans="118:119">
      <c r="DN208" s="2"/>
      <c r="DO208" s="2"/>
    </row>
    <row r="209" spans="118:119">
      <c r="DN209" s="2"/>
      <c r="DO209" s="2"/>
    </row>
    <row r="210" spans="118:119">
      <c r="DN210" s="2"/>
      <c r="DO210" s="2"/>
    </row>
    <row r="211" spans="118:119">
      <c r="DN211" s="2"/>
      <c r="DO211" s="2"/>
    </row>
    <row r="212" spans="118:119">
      <c r="DN212" s="2"/>
      <c r="DO212" s="2"/>
    </row>
    <row r="213" spans="118:119">
      <c r="DN213" s="2"/>
      <c r="DO213" s="2"/>
    </row>
    <row r="214" spans="118:119">
      <c r="DN214" s="2"/>
      <c r="DO214" s="2"/>
    </row>
    <row r="215" spans="118:119">
      <c r="DN215" s="2"/>
      <c r="DO215" s="2"/>
    </row>
    <row r="216" spans="118:119">
      <c r="DN216" s="2"/>
      <c r="DO216" s="2"/>
    </row>
    <row r="217" spans="118:119">
      <c r="DN217" s="2"/>
      <c r="DO217" s="2"/>
    </row>
    <row r="218" spans="118:119">
      <c r="DN218" s="2"/>
      <c r="DO218" s="2"/>
    </row>
    <row r="219" spans="118:119">
      <c r="DN219" s="2"/>
      <c r="DO219" s="2"/>
    </row>
    <row r="220" spans="118:119">
      <c r="DN220" s="2"/>
      <c r="DO220" s="2"/>
    </row>
    <row r="221" spans="118:119">
      <c r="DN221" s="2"/>
      <c r="DO221" s="2"/>
    </row>
    <row r="222" spans="118:119">
      <c r="DN222" s="2"/>
      <c r="DO222" s="2"/>
    </row>
    <row r="223" spans="118:119">
      <c r="DN223" s="2"/>
      <c r="DO223" s="2"/>
    </row>
    <row r="224" spans="118:119">
      <c r="DN224" s="2"/>
      <c r="DO224" s="2"/>
    </row>
    <row r="225" spans="118:119">
      <c r="DN225" s="2"/>
      <c r="DO225" s="2"/>
    </row>
    <row r="226" spans="118:119">
      <c r="DN226" s="2"/>
      <c r="DO226" s="2"/>
    </row>
    <row r="227" spans="118:119">
      <c r="DN227" s="2"/>
      <c r="DO227" s="2"/>
    </row>
    <row r="228" spans="118:119">
      <c r="DN228" s="2"/>
      <c r="DO228" s="2"/>
    </row>
    <row r="229" spans="118:119">
      <c r="DN229" s="2"/>
      <c r="DO229" s="2"/>
    </row>
    <row r="230" spans="118:119">
      <c r="DN230" s="2"/>
      <c r="DO230" s="2"/>
    </row>
    <row r="231" spans="118:119">
      <c r="DN231" s="2"/>
      <c r="DO231" s="2"/>
    </row>
    <row r="232" spans="118:119">
      <c r="DN232" s="2"/>
      <c r="DO232" s="2"/>
    </row>
    <row r="233" spans="118:119">
      <c r="DN233" s="2"/>
      <c r="DO233" s="2"/>
    </row>
    <row r="234" spans="118:119">
      <c r="DN234" s="2"/>
      <c r="DO234" s="2"/>
    </row>
    <row r="235" spans="118:119">
      <c r="DN235" s="2"/>
      <c r="DO235" s="2"/>
    </row>
    <row r="236" spans="118:119">
      <c r="DN236" s="2"/>
      <c r="DO236" s="2"/>
    </row>
    <row r="237" spans="118:119">
      <c r="DN237" s="2"/>
      <c r="DO237" s="2"/>
    </row>
    <row r="238" spans="118:119">
      <c r="DN238" s="2"/>
      <c r="DO238" s="2"/>
    </row>
    <row r="239" spans="118:119">
      <c r="DN239" s="2"/>
      <c r="DO239" s="2"/>
    </row>
    <row r="240" spans="118:119">
      <c r="DN240" s="2"/>
      <c r="DO240" s="2"/>
    </row>
    <row r="241" spans="118:119">
      <c r="DN241" s="2"/>
      <c r="DO241" s="2"/>
    </row>
    <row r="242" spans="118:119">
      <c r="DN242" s="2"/>
      <c r="DO242" s="2"/>
    </row>
    <row r="243" spans="118:119">
      <c r="DN243" s="2"/>
      <c r="DO243" s="2"/>
    </row>
    <row r="244" spans="118:119">
      <c r="DN244" s="2"/>
      <c r="DO244" s="2"/>
    </row>
    <row r="245" spans="118:119">
      <c r="DN245" s="2"/>
      <c r="DO245" s="2"/>
    </row>
    <row r="246" spans="118:119">
      <c r="DN246" s="2"/>
      <c r="DO246" s="2"/>
    </row>
    <row r="247" spans="118:119">
      <c r="DN247" s="2"/>
      <c r="DO247" s="2"/>
    </row>
    <row r="248" spans="118:119">
      <c r="DN248" s="2"/>
      <c r="DO248" s="2"/>
    </row>
    <row r="249" spans="118:119">
      <c r="DN249" s="2"/>
      <c r="DO249" s="2"/>
    </row>
    <row r="250" spans="118:119">
      <c r="DN250" s="2"/>
      <c r="DO250" s="2"/>
    </row>
    <row r="251" spans="118:119">
      <c r="DN251" s="2"/>
      <c r="DO251" s="2"/>
    </row>
    <row r="252" spans="118:119">
      <c r="DN252" s="2"/>
      <c r="DO252" s="2"/>
    </row>
    <row r="253" spans="118:119">
      <c r="DN253" s="2"/>
      <c r="DO253" s="2"/>
    </row>
    <row r="254" spans="118:119">
      <c r="DN254" s="2"/>
      <c r="DO254" s="2"/>
    </row>
    <row r="255" spans="118:119">
      <c r="DN255" s="2"/>
      <c r="DO255" s="2"/>
    </row>
    <row r="256" spans="118:119">
      <c r="DN256" s="2"/>
      <c r="DO256" s="2"/>
    </row>
    <row r="257" spans="118:119">
      <c r="DN257" s="2"/>
      <c r="DO257" s="2"/>
    </row>
    <row r="258" spans="118:119">
      <c r="DN258" s="2"/>
      <c r="DO258" s="2"/>
    </row>
    <row r="259" spans="118:119">
      <c r="DN259" s="2"/>
      <c r="DO259" s="2"/>
    </row>
    <row r="260" spans="118:119">
      <c r="DN260" s="2"/>
      <c r="DO260" s="2"/>
    </row>
    <row r="261" spans="118:119">
      <c r="DN261" s="2"/>
      <c r="DO261" s="2"/>
    </row>
    <row r="262" spans="118:119">
      <c r="DN262" s="2"/>
      <c r="DO262" s="2"/>
    </row>
    <row r="353" spans="65:119" s="2" customFormat="1">
      <c r="BM353" s="134"/>
      <c r="CD353" s="158"/>
      <c r="DN353" s="136"/>
      <c r="DO353" s="136"/>
    </row>
    <row r="354" spans="65:119" s="2" customFormat="1">
      <c r="BM354" s="134"/>
      <c r="CD354" s="158"/>
      <c r="DN354" s="136"/>
      <c r="DO354" s="136"/>
    </row>
    <row r="355" spans="65:119" s="2" customFormat="1">
      <c r="BM355" s="134"/>
      <c r="CD355" s="158"/>
      <c r="DN355" s="136"/>
      <c r="DO355" s="136"/>
    </row>
    <row r="356" spans="65:119" s="2" customFormat="1">
      <c r="BM356" s="134"/>
      <c r="CD356" s="158"/>
      <c r="DN356" s="136"/>
      <c r="DO356" s="136"/>
    </row>
    <row r="357" spans="65:119" s="2" customFormat="1">
      <c r="BM357" s="134"/>
      <c r="CD357" s="158"/>
      <c r="DN357" s="136"/>
      <c r="DO357" s="136"/>
    </row>
    <row r="358" spans="65:119" s="2" customFormat="1">
      <c r="BM358" s="134"/>
      <c r="CD358" s="158"/>
      <c r="DN358" s="136"/>
      <c r="DO358" s="136"/>
    </row>
    <row r="359" spans="65:119" s="2" customFormat="1">
      <c r="BM359" s="134"/>
      <c r="CD359" s="158"/>
      <c r="DN359" s="136"/>
      <c r="DO359" s="136"/>
    </row>
    <row r="360" spans="65:119" s="2" customFormat="1">
      <c r="BM360" s="134"/>
      <c r="CD360" s="158"/>
      <c r="DN360" s="136"/>
      <c r="DO360" s="136"/>
    </row>
    <row r="361" spans="65:119" s="2" customFormat="1">
      <c r="BM361" s="134"/>
      <c r="CD361" s="158"/>
      <c r="DN361" s="136"/>
      <c r="DO361" s="136"/>
    </row>
    <row r="362" spans="65:119" s="2" customFormat="1">
      <c r="BM362" s="134"/>
      <c r="CD362" s="158"/>
      <c r="DN362" s="136"/>
      <c r="DO362" s="136"/>
    </row>
    <row r="363" spans="65:119" s="2" customFormat="1">
      <c r="BM363" s="134"/>
      <c r="CD363" s="158"/>
      <c r="DN363" s="136"/>
      <c r="DO363" s="136"/>
    </row>
    <row r="364" spans="65:119" s="2" customFormat="1">
      <c r="BM364" s="134"/>
      <c r="CD364" s="158"/>
      <c r="DN364" s="136"/>
      <c r="DO364" s="136"/>
    </row>
    <row r="365" spans="65:119" s="2" customFormat="1">
      <c r="BM365" s="134"/>
      <c r="CD365" s="158"/>
      <c r="DN365" s="136"/>
      <c r="DO365" s="136"/>
    </row>
    <row r="366" spans="65:119" s="2" customFormat="1">
      <c r="BM366" s="134"/>
      <c r="CD366" s="158"/>
      <c r="DN366" s="136"/>
      <c r="DO366" s="136"/>
    </row>
    <row r="367" spans="65:119" s="2" customFormat="1">
      <c r="BM367" s="134"/>
      <c r="CD367" s="158"/>
      <c r="DN367" s="136"/>
      <c r="DO367" s="136"/>
    </row>
    <row r="368" spans="65:119" s="2" customFormat="1">
      <c r="BM368" s="134"/>
      <c r="CD368" s="158"/>
      <c r="DN368" s="136"/>
      <c r="DO368" s="136"/>
    </row>
    <row r="497" spans="65:119" s="2" customFormat="1">
      <c r="BM497" s="134"/>
      <c r="CD497" s="158"/>
      <c r="DN497" s="136"/>
      <c r="DO497" s="136"/>
    </row>
    <row r="504" spans="65:119" s="2" customFormat="1">
      <c r="BM504" s="134"/>
      <c r="CD504" s="158"/>
      <c r="DN504" s="136"/>
      <c r="DO504" s="136"/>
    </row>
    <row r="505" spans="65:119" s="2" customFormat="1">
      <c r="BM505" s="134"/>
      <c r="CD505" s="158"/>
      <c r="DN505" s="136"/>
      <c r="DO505" s="136"/>
    </row>
    <row r="506" spans="65:119" s="2" customFormat="1">
      <c r="BM506" s="134"/>
      <c r="CD506" s="158"/>
      <c r="DN506" s="136"/>
      <c r="DO506" s="136"/>
    </row>
    <row r="507" spans="65:119" s="2" customFormat="1">
      <c r="BM507" s="134"/>
      <c r="CD507" s="158"/>
      <c r="DN507" s="136"/>
      <c r="DO507" s="136"/>
    </row>
    <row r="508" spans="65:119" s="2" customFormat="1">
      <c r="BM508" s="134"/>
      <c r="CD508" s="158"/>
      <c r="DN508" s="136"/>
      <c r="DO508" s="136"/>
    </row>
    <row r="509" spans="65:119" s="2" customFormat="1">
      <c r="BM509" s="134"/>
      <c r="CD509" s="158"/>
      <c r="DN509" s="136"/>
      <c r="DO509" s="136"/>
    </row>
    <row r="510" spans="65:119" s="2" customFormat="1">
      <c r="BM510" s="134"/>
      <c r="CD510" s="158"/>
      <c r="DN510" s="136"/>
      <c r="DO510" s="136"/>
    </row>
    <row r="511" spans="65:119" s="2" customFormat="1">
      <c r="BM511" s="134"/>
      <c r="CD511" s="158"/>
      <c r="DN511" s="136"/>
      <c r="DO511" s="136"/>
    </row>
    <row r="512" spans="65:119" s="2" customFormat="1">
      <c r="BM512" s="134"/>
      <c r="CD512" s="158"/>
      <c r="DN512" s="136"/>
      <c r="DO512" s="136"/>
    </row>
    <row r="513" spans="65:82" s="2" customFormat="1">
      <c r="BM513" s="134"/>
      <c r="CD513" s="158"/>
    </row>
    <row r="516" spans="65:82" s="2" customFormat="1">
      <c r="BM516" s="134"/>
      <c r="CD516" s="158"/>
    </row>
    <row r="517" spans="65:82" s="2" customFormat="1">
      <c r="BM517" s="134"/>
      <c r="CD517" s="158"/>
    </row>
    <row r="535" spans="65:119" s="2" customFormat="1">
      <c r="BM535" s="134"/>
      <c r="CD535" s="158"/>
      <c r="DN535" s="136"/>
      <c r="DO535" s="136"/>
    </row>
    <row r="536" spans="65:119" s="2" customFormat="1">
      <c r="BM536" s="134"/>
      <c r="CD536" s="158"/>
      <c r="DN536" s="136"/>
      <c r="DO536" s="136"/>
    </row>
    <row r="537" spans="65:119" s="2" customFormat="1">
      <c r="BM537" s="134"/>
      <c r="CD537" s="158"/>
      <c r="DN537" s="136"/>
      <c r="DO537" s="136"/>
    </row>
    <row r="538" spans="65:119" s="2" customFormat="1">
      <c r="BM538" s="134"/>
      <c r="CD538" s="158"/>
      <c r="DN538" s="136"/>
      <c r="DO538" s="136"/>
    </row>
    <row r="539" spans="65:119" s="2" customFormat="1">
      <c r="BM539" s="134"/>
      <c r="CD539" s="158"/>
      <c r="DN539" s="136"/>
      <c r="DO539" s="136"/>
    </row>
    <row r="540" spans="65:119" s="2" customFormat="1">
      <c r="BM540" s="134"/>
      <c r="CD540" s="158"/>
      <c r="DN540" s="136"/>
      <c r="DO540" s="136"/>
    </row>
    <row r="541" spans="65:119" s="2" customFormat="1">
      <c r="BM541" s="134"/>
      <c r="CD541" s="158"/>
      <c r="DN541" s="136"/>
      <c r="DO541" s="136"/>
    </row>
    <row r="542" spans="65:119" s="2" customFormat="1">
      <c r="BM542" s="134"/>
      <c r="CD542" s="158"/>
      <c r="DN542" s="136"/>
      <c r="DO542" s="136"/>
    </row>
    <row r="543" spans="65:119" s="2" customFormat="1">
      <c r="BM543" s="134"/>
      <c r="CD543" s="158"/>
      <c r="DN543" s="136"/>
      <c r="DO543" s="136"/>
    </row>
    <row r="544" spans="65:119" s="2" customFormat="1">
      <c r="BM544" s="134"/>
      <c r="CD544" s="158"/>
      <c r="DN544" s="136"/>
      <c r="DO544" s="136"/>
    </row>
    <row r="545" spans="65:119" s="2" customFormat="1">
      <c r="BM545" s="134"/>
      <c r="CD545" s="158"/>
      <c r="DN545" s="136"/>
      <c r="DO545" s="136"/>
    </row>
    <row r="546" spans="65:119" s="2" customFormat="1">
      <c r="BM546" s="134"/>
      <c r="CD546" s="158"/>
      <c r="DN546" s="136"/>
      <c r="DO546" s="136"/>
    </row>
    <row r="547" spans="65:119" s="2" customFormat="1">
      <c r="BM547" s="134"/>
      <c r="CD547" s="158"/>
      <c r="DN547" s="136"/>
      <c r="DO547" s="136"/>
    </row>
    <row r="548" spans="65:119" s="2" customFormat="1">
      <c r="BM548" s="134"/>
      <c r="CD548" s="158"/>
      <c r="DN548" s="136"/>
      <c r="DO548" s="136"/>
    </row>
    <row r="549" spans="65:119" s="2" customFormat="1">
      <c r="BM549" s="134"/>
      <c r="CD549" s="158"/>
      <c r="DN549" s="136"/>
      <c r="DO549" s="136"/>
    </row>
    <row r="550" spans="65:119" s="2" customFormat="1">
      <c r="BM550" s="134"/>
      <c r="CD550" s="158"/>
      <c r="DN550" s="136"/>
      <c r="DO550" s="136"/>
    </row>
    <row r="551" spans="65:119" s="2" customFormat="1">
      <c r="BM551" s="134"/>
      <c r="CD551" s="158"/>
      <c r="DN551" s="136"/>
      <c r="DO551" s="136"/>
    </row>
    <row r="552" spans="65:119" s="2" customFormat="1">
      <c r="BM552" s="134"/>
      <c r="CD552" s="158"/>
      <c r="DN552" s="136"/>
      <c r="DO552" s="136"/>
    </row>
    <row r="553" spans="65:119" s="2" customFormat="1">
      <c r="BM553" s="134"/>
      <c r="CD553" s="158"/>
      <c r="DN553" s="136"/>
      <c r="DO553" s="136"/>
    </row>
    <row r="554" spans="65:119" s="2" customFormat="1">
      <c r="BM554" s="134"/>
      <c r="CD554" s="158"/>
      <c r="DN554" s="136"/>
      <c r="DO554" s="136"/>
    </row>
    <row r="555" spans="65:119" s="2" customFormat="1">
      <c r="BM555" s="134"/>
      <c r="CD555" s="158"/>
      <c r="DN555" s="136"/>
      <c r="DO555" s="136"/>
    </row>
    <row r="556" spans="65:119" s="2" customFormat="1">
      <c r="BM556" s="134"/>
      <c r="CD556" s="158"/>
      <c r="DN556" s="136"/>
      <c r="DO556" s="136"/>
    </row>
    <row r="557" spans="65:119" s="2" customFormat="1">
      <c r="BM557" s="134"/>
      <c r="CD557" s="158"/>
      <c r="DN557" s="136"/>
      <c r="DO557" s="136"/>
    </row>
    <row r="558" spans="65:119" s="2" customFormat="1">
      <c r="BM558" s="134"/>
      <c r="CD558" s="158"/>
      <c r="DN558" s="136"/>
      <c r="DO558" s="136"/>
    </row>
    <row r="559" spans="65:119" s="2" customFormat="1">
      <c r="BM559" s="134"/>
      <c r="CD559" s="158"/>
      <c r="DN559" s="136"/>
      <c r="DO559" s="136"/>
    </row>
    <row r="560" spans="65:119" s="2" customFormat="1">
      <c r="BM560" s="134"/>
      <c r="CD560" s="158"/>
      <c r="DN560" s="136"/>
      <c r="DO560" s="136"/>
    </row>
    <row r="561" spans="65:119" s="2" customFormat="1">
      <c r="BM561" s="134"/>
      <c r="CD561" s="158"/>
      <c r="DN561" s="136"/>
      <c r="DO561" s="136"/>
    </row>
    <row r="562" spans="65:119" s="2" customFormat="1">
      <c r="BM562" s="134"/>
      <c r="CD562" s="158"/>
      <c r="DN562" s="136"/>
      <c r="DO562" s="136"/>
    </row>
    <row r="563" spans="65:119" s="2" customFormat="1">
      <c r="BM563" s="134"/>
      <c r="CD563" s="158"/>
      <c r="DN563" s="136"/>
      <c r="DO563" s="136"/>
    </row>
    <row r="564" spans="65:119" s="2" customFormat="1">
      <c r="BM564" s="134"/>
      <c r="CD564" s="158"/>
      <c r="DN564" s="136"/>
      <c r="DO564" s="136"/>
    </row>
    <row r="565" spans="65:119" s="2" customFormat="1">
      <c r="BM565" s="134"/>
      <c r="CD565" s="158"/>
      <c r="DN565" s="136"/>
      <c r="DO565" s="136"/>
    </row>
    <row r="566" spans="65:119" s="2" customFormat="1">
      <c r="BM566" s="134"/>
      <c r="CD566" s="158"/>
      <c r="DN566" s="136"/>
      <c r="DO566" s="136"/>
    </row>
    <row r="567" spans="65:119" s="2" customFormat="1">
      <c r="BM567" s="134"/>
      <c r="CD567" s="158"/>
      <c r="DN567" s="136"/>
      <c r="DO567" s="136"/>
    </row>
    <row r="568" spans="65:119" s="2" customFormat="1">
      <c r="BM568" s="134"/>
      <c r="CD568" s="158"/>
      <c r="DN568" s="136"/>
      <c r="DO568" s="136"/>
    </row>
    <row r="569" spans="65:119" s="2" customFormat="1">
      <c r="BM569" s="134"/>
      <c r="CD569" s="158"/>
      <c r="DN569" s="136"/>
      <c r="DO569" s="136"/>
    </row>
    <row r="570" spans="65:119" s="2" customFormat="1">
      <c r="BM570" s="134"/>
      <c r="CD570" s="158"/>
      <c r="DN570" s="136"/>
      <c r="DO570" s="136"/>
    </row>
    <row r="571" spans="65:119" s="2" customFormat="1">
      <c r="BM571" s="134"/>
      <c r="CD571" s="158"/>
      <c r="DN571" s="136"/>
      <c r="DO571" s="136"/>
    </row>
    <row r="572" spans="65:119" s="2" customFormat="1">
      <c r="BM572" s="134"/>
      <c r="CD572" s="158"/>
      <c r="DN572" s="136"/>
      <c r="DO572" s="136"/>
    </row>
    <row r="573" spans="65:119" s="2" customFormat="1">
      <c r="BM573" s="134"/>
      <c r="CD573" s="158"/>
      <c r="DN573" s="136"/>
      <c r="DO573" s="136"/>
    </row>
    <row r="574" spans="65:119" s="2" customFormat="1">
      <c r="BM574" s="134"/>
      <c r="CD574" s="158"/>
      <c r="DN574" s="136"/>
      <c r="DO574" s="136"/>
    </row>
    <row r="575" spans="65:119" s="2" customFormat="1">
      <c r="BM575" s="134"/>
      <c r="CD575" s="158"/>
      <c r="DN575" s="136"/>
      <c r="DO575" s="136"/>
    </row>
    <row r="576" spans="65:119" s="2" customFormat="1">
      <c r="BM576" s="134"/>
      <c r="CD576" s="158"/>
      <c r="DN576" s="136"/>
      <c r="DO576" s="136"/>
    </row>
    <row r="577" spans="65:119" s="2" customFormat="1">
      <c r="BM577" s="134"/>
      <c r="CD577" s="158"/>
      <c r="DN577" s="136"/>
      <c r="DO577" s="136"/>
    </row>
    <row r="578" spans="65:119" s="2" customFormat="1">
      <c r="BM578" s="134"/>
      <c r="CD578" s="158"/>
      <c r="DN578" s="136"/>
      <c r="DO578" s="136"/>
    </row>
    <row r="579" spans="65:119" s="2" customFormat="1">
      <c r="BM579" s="134"/>
      <c r="CD579" s="158"/>
      <c r="DN579" s="136"/>
      <c r="DO579" s="136"/>
    </row>
    <row r="580" spans="65:119" s="2" customFormat="1">
      <c r="BM580" s="134"/>
      <c r="CD580" s="158"/>
      <c r="DN580" s="136"/>
      <c r="DO580" s="136"/>
    </row>
    <row r="581" spans="65:119" s="2" customFormat="1">
      <c r="BM581" s="134"/>
      <c r="CD581" s="158"/>
      <c r="DN581" s="136"/>
      <c r="DO581" s="136"/>
    </row>
    <row r="582" spans="65:119" s="2" customFormat="1">
      <c r="BM582" s="134"/>
      <c r="CD582" s="158"/>
      <c r="DN582" s="136"/>
      <c r="DO582" s="136"/>
    </row>
    <row r="583" spans="65:119" s="2" customFormat="1">
      <c r="BM583" s="134"/>
      <c r="CD583" s="158"/>
      <c r="DN583" s="136"/>
      <c r="DO583" s="136"/>
    </row>
    <row r="584" spans="65:119" s="2" customFormat="1">
      <c r="BM584" s="134"/>
      <c r="CD584" s="158"/>
      <c r="DN584" s="136"/>
      <c r="DO584" s="136"/>
    </row>
    <row r="585" spans="65:119" s="2" customFormat="1">
      <c r="BM585" s="134"/>
      <c r="CD585" s="158"/>
      <c r="DN585" s="136"/>
      <c r="DO585" s="136"/>
    </row>
    <row r="586" spans="65:119" s="2" customFormat="1">
      <c r="BM586" s="134"/>
      <c r="CD586" s="158"/>
      <c r="DN586" s="136"/>
      <c r="DO586" s="136"/>
    </row>
    <row r="587" spans="65:119" s="2" customFormat="1">
      <c r="BM587" s="134"/>
      <c r="CD587" s="158"/>
      <c r="DN587" s="136"/>
      <c r="DO587" s="136"/>
    </row>
    <row r="588" spans="65:119" s="2" customFormat="1">
      <c r="BM588" s="134"/>
      <c r="CD588" s="158"/>
      <c r="DN588" s="136"/>
      <c r="DO588" s="136"/>
    </row>
    <row r="589" spans="65:119" s="2" customFormat="1">
      <c r="BM589" s="134"/>
      <c r="CD589" s="158"/>
      <c r="DN589" s="136"/>
      <c r="DO589" s="136"/>
    </row>
    <row r="590" spans="65:119" s="2" customFormat="1">
      <c r="BM590" s="134"/>
      <c r="CD590" s="158"/>
      <c r="DN590" s="136"/>
      <c r="DO590" s="136"/>
    </row>
    <row r="591" spans="65:119" s="2" customFormat="1">
      <c r="BM591" s="134"/>
      <c r="CD591" s="158"/>
      <c r="DN591" s="136"/>
      <c r="DO591" s="136"/>
    </row>
    <row r="592" spans="65:119" s="2" customFormat="1">
      <c r="BM592" s="134"/>
      <c r="CD592" s="158"/>
      <c r="DN592" s="136"/>
      <c r="DO592" s="136"/>
    </row>
    <row r="593" spans="65:119" s="2" customFormat="1">
      <c r="BM593" s="134"/>
      <c r="CD593" s="158"/>
      <c r="DN593" s="136"/>
      <c r="DO593" s="136"/>
    </row>
    <row r="594" spans="65:119" s="2" customFormat="1">
      <c r="BM594" s="134"/>
      <c r="CD594" s="158"/>
      <c r="DN594" s="136"/>
      <c r="DO594" s="136"/>
    </row>
    <row r="595" spans="65:119" s="2" customFormat="1">
      <c r="BM595" s="134"/>
      <c r="CD595" s="158"/>
      <c r="DN595" s="136"/>
      <c r="DO595" s="136"/>
    </row>
    <row r="596" spans="65:119" s="2" customFormat="1">
      <c r="BM596" s="134"/>
      <c r="CD596" s="158"/>
      <c r="DN596" s="136"/>
      <c r="DO596" s="136"/>
    </row>
    <row r="597" spans="65:119" s="2" customFormat="1">
      <c r="BM597" s="134"/>
      <c r="CD597" s="158"/>
      <c r="DN597" s="136"/>
      <c r="DO597" s="136"/>
    </row>
    <row r="598" spans="65:119" s="2" customFormat="1">
      <c r="BM598" s="134"/>
      <c r="CD598" s="158"/>
      <c r="DN598" s="136"/>
      <c r="DO598" s="136"/>
    </row>
    <row r="599" spans="65:119" s="2" customFormat="1">
      <c r="BM599" s="134"/>
      <c r="CD599" s="158"/>
      <c r="DN599" s="136"/>
      <c r="DO599" s="136"/>
    </row>
    <row r="600" spans="65:119" s="2" customFormat="1">
      <c r="BM600" s="134"/>
      <c r="CD600" s="158"/>
      <c r="DN600" s="136"/>
      <c r="DO600" s="136"/>
    </row>
    <row r="601" spans="65:119" s="2" customFormat="1">
      <c r="BM601" s="134"/>
      <c r="CD601" s="158"/>
      <c r="DN601" s="136"/>
      <c r="DO601" s="136"/>
    </row>
    <row r="602" spans="65:119" s="2" customFormat="1">
      <c r="BM602" s="134"/>
      <c r="CD602" s="158"/>
      <c r="DN602" s="136"/>
      <c r="DO602" s="136"/>
    </row>
    <row r="603" spans="65:119" s="2" customFormat="1">
      <c r="BM603" s="134"/>
      <c r="CD603" s="158"/>
      <c r="DN603" s="136"/>
      <c r="DO603" s="136"/>
    </row>
    <row r="604" spans="65:119" s="2" customFormat="1">
      <c r="BM604" s="134"/>
      <c r="CD604" s="158"/>
      <c r="DN604" s="136"/>
      <c r="DO604" s="136"/>
    </row>
    <row r="605" spans="65:119" s="2" customFormat="1">
      <c r="BM605" s="134"/>
      <c r="CD605" s="158"/>
      <c r="DN605" s="136"/>
      <c r="DO605" s="136"/>
    </row>
    <row r="606" spans="65:119" s="2" customFormat="1">
      <c r="BM606" s="134"/>
      <c r="CD606" s="158"/>
      <c r="DN606" s="136"/>
      <c r="DO606" s="136"/>
    </row>
    <row r="607" spans="65:119" s="2" customFormat="1">
      <c r="BM607" s="134"/>
      <c r="CD607" s="158"/>
      <c r="DN607" s="136"/>
      <c r="DO607" s="136"/>
    </row>
    <row r="608" spans="65:119" s="2" customFormat="1">
      <c r="BM608" s="134"/>
      <c r="CD608" s="158"/>
      <c r="DN608" s="136"/>
      <c r="DO608" s="136"/>
    </row>
    <row r="609" spans="65:119" s="2" customFormat="1">
      <c r="BM609" s="134"/>
      <c r="CD609" s="158"/>
      <c r="DN609" s="136"/>
      <c r="DO609" s="136"/>
    </row>
    <row r="610" spans="65:119" s="2" customFormat="1">
      <c r="BM610" s="134"/>
      <c r="CD610" s="158"/>
      <c r="DN610" s="136"/>
      <c r="DO610" s="136"/>
    </row>
    <row r="611" spans="65:119" s="2" customFormat="1">
      <c r="BM611" s="134"/>
      <c r="CD611" s="158"/>
      <c r="DN611" s="136"/>
      <c r="DO611" s="136"/>
    </row>
    <row r="612" spans="65:119" s="2" customFormat="1">
      <c r="BM612" s="134"/>
      <c r="CD612" s="158"/>
      <c r="DN612" s="136"/>
      <c r="DO612" s="136"/>
    </row>
    <row r="613" spans="65:119" s="2" customFormat="1">
      <c r="BM613" s="134"/>
      <c r="CD613" s="158"/>
      <c r="DN613" s="136"/>
      <c r="DO613" s="136"/>
    </row>
    <row r="614" spans="65:119" s="2" customFormat="1">
      <c r="BM614" s="134"/>
      <c r="CD614" s="158"/>
      <c r="DN614" s="136"/>
      <c r="DO614" s="136"/>
    </row>
    <row r="615" spans="65:119" s="2" customFormat="1">
      <c r="BM615" s="134"/>
      <c r="CD615" s="158"/>
      <c r="DN615" s="136"/>
      <c r="DO615" s="136"/>
    </row>
    <row r="616" spans="65:119" s="2" customFormat="1">
      <c r="BM616" s="134"/>
      <c r="CD616" s="158"/>
      <c r="DN616" s="136"/>
      <c r="DO616" s="136"/>
    </row>
    <row r="620" spans="65:119" s="2" customFormat="1">
      <c r="BM620" s="134"/>
      <c r="CD620" s="158"/>
      <c r="DN620" s="136"/>
      <c r="DO620" s="136"/>
    </row>
    <row r="621" spans="65:119" s="2" customFormat="1">
      <c r="BM621" s="134"/>
      <c r="CD621" s="158"/>
      <c r="DN621" s="136"/>
      <c r="DO621" s="136"/>
    </row>
    <row r="632" spans="65:119" s="2" customFormat="1">
      <c r="BM632" s="134"/>
      <c r="CD632" s="158"/>
      <c r="DN632" s="136"/>
      <c r="DO632" s="136"/>
    </row>
    <row r="633" spans="65:119" s="2" customFormat="1">
      <c r="BM633" s="134"/>
      <c r="CD633" s="158"/>
      <c r="DN633" s="136"/>
      <c r="DO633" s="136"/>
    </row>
    <row r="634" spans="65:119" s="2" customFormat="1">
      <c r="BM634" s="134"/>
      <c r="CD634" s="158"/>
      <c r="DN634" s="136"/>
      <c r="DO634" s="136"/>
    </row>
    <row r="635" spans="65:119" s="2" customFormat="1">
      <c r="BM635" s="134"/>
      <c r="CD635" s="158"/>
      <c r="DN635" s="136"/>
      <c r="DO635" s="136"/>
    </row>
    <row r="636" spans="65:119" s="2" customFormat="1">
      <c r="BM636" s="134"/>
      <c r="CD636" s="158"/>
      <c r="DN636" s="136"/>
      <c r="DO636" s="136"/>
    </row>
    <row r="637" spans="65:119" s="2" customFormat="1">
      <c r="BM637" s="134"/>
      <c r="CD637" s="158"/>
      <c r="DN637" s="136"/>
      <c r="DO637" s="136"/>
    </row>
    <row r="638" spans="65:119" s="2" customFormat="1">
      <c r="BM638" s="134"/>
      <c r="CD638" s="158"/>
      <c r="DN638" s="136"/>
      <c r="DO638" s="136"/>
    </row>
    <row r="639" spans="65:119" s="2" customFormat="1">
      <c r="BM639" s="134"/>
      <c r="CD639" s="158"/>
      <c r="DN639" s="136"/>
      <c r="DO639" s="136"/>
    </row>
    <row r="640" spans="65:119" s="2" customFormat="1">
      <c r="BM640" s="134"/>
      <c r="CD640" s="158"/>
      <c r="DN640" s="136"/>
      <c r="DO640" s="136"/>
    </row>
    <row r="641" spans="65:119" s="2" customFormat="1">
      <c r="BM641" s="134"/>
      <c r="CD641" s="158"/>
      <c r="DN641" s="136"/>
      <c r="DO641" s="136"/>
    </row>
    <row r="642" spans="65:119" s="2" customFormat="1">
      <c r="BM642" s="134"/>
      <c r="CD642" s="158"/>
      <c r="DN642" s="136"/>
      <c r="DO642" s="136"/>
    </row>
    <row r="643" spans="65:119" s="2" customFormat="1">
      <c r="BM643" s="134"/>
      <c r="CD643" s="158"/>
      <c r="DN643" s="136"/>
      <c r="DO643" s="136"/>
    </row>
    <row r="644" spans="65:119" s="2" customFormat="1">
      <c r="BM644" s="134"/>
      <c r="CD644" s="158"/>
      <c r="DN644" s="136"/>
      <c r="DO644" s="136"/>
    </row>
    <row r="645" spans="65:119" s="2" customFormat="1">
      <c r="BM645" s="134"/>
      <c r="CD645" s="158"/>
      <c r="DN645" s="136"/>
      <c r="DO645" s="136"/>
    </row>
    <row r="646" spans="65:119" s="2" customFormat="1">
      <c r="BM646" s="134"/>
      <c r="CD646" s="158"/>
      <c r="DN646" s="136"/>
      <c r="DO646" s="136"/>
    </row>
    <row r="647" spans="65:119" s="2" customFormat="1">
      <c r="BM647" s="134"/>
      <c r="CD647" s="158"/>
      <c r="DN647" s="136"/>
      <c r="DO647" s="136"/>
    </row>
  </sheetData>
  <conditionalFormatting sqref="AI185">
    <cfRule type="expression" dxfId="30" priority="31">
      <formula>"&lt;$AS$2"</formula>
    </cfRule>
  </conditionalFormatting>
  <conditionalFormatting sqref="CL2:EK168">
    <cfRule type="cellIs" dxfId="29" priority="28" operator="notEqual">
      <formula>0</formula>
    </cfRule>
    <cfRule type="expression" dxfId="28" priority="29" stopIfTrue="1">
      <formula>IF(MOD(COLUMN(),2),TRUE,FALSE)</formula>
    </cfRule>
    <cfRule type="expression" dxfId="27" priority="30" stopIfTrue="1">
      <formula>IF(MOD(COLUMN(BG$1),2),TRUE,FALSE)</formula>
    </cfRule>
  </conditionalFormatting>
  <conditionalFormatting sqref="AC2:AC168 AE2:AF168">
    <cfRule type="expression" dxfId="26" priority="27" stopIfTrue="1">
      <formula>$AB2&lt;&gt;"Yes - Outside this BoM"</formula>
    </cfRule>
  </conditionalFormatting>
  <conditionalFormatting sqref="AP2:AP168">
    <cfRule type="expression" dxfId="25" priority="26" stopIfTrue="1">
      <formula>NOT(OR(LEFT($AO2,6)="VMware",$AO2="pSeries"))</formula>
    </cfRule>
  </conditionalFormatting>
  <conditionalFormatting sqref="AD2:AD168">
    <cfRule type="expression" dxfId="24" priority="25" stopIfTrue="1">
      <formula>AND(LEFT($AO2,6)="VMware",$AD2&lt;&gt;0.5*$AC2, AC2&gt;1)</formula>
    </cfRule>
  </conditionalFormatting>
  <conditionalFormatting sqref="AC2:AF168">
    <cfRule type="expression" dxfId="23" priority="24" stopIfTrue="1">
      <formula>$AB2&lt;&gt;"Yes - Outside this BoM"</formula>
    </cfRule>
  </conditionalFormatting>
  <conditionalFormatting sqref="AT2:AT168">
    <cfRule type="expression" dxfId="22" priority="23" stopIfTrue="1">
      <formula>AND(LEFT($AO2,6)="VMware", ISNUMBER($AR2), $AT2&lt;&gt;0.5*$AR2, AR2&gt;1)</formula>
    </cfRule>
  </conditionalFormatting>
  <conditionalFormatting sqref="AV2:AV168">
    <cfRule type="expression" dxfId="21" priority="22" stopIfTrue="1">
      <formula>AND(ISNUMBER(AU2),EX2&lt;AU2)</formula>
    </cfRule>
  </conditionalFormatting>
  <conditionalFormatting sqref="AX2:AX168">
    <cfRule type="expression" dxfId="20" priority="21" stopIfTrue="1">
      <formula>ISBLANK($AW2)</formula>
    </cfRule>
  </conditionalFormatting>
  <conditionalFormatting sqref="AY2:AY168">
    <cfRule type="expression" dxfId="19" priority="20" stopIfTrue="1">
      <formula>OR(ISBLANK($AX2), $AX2="NLB", $AX2="WLB")</formula>
    </cfRule>
  </conditionalFormatting>
  <conditionalFormatting sqref="BZ2:CE168">
    <cfRule type="expression" dxfId="18" priority="19" stopIfTrue="1">
      <formula>LEFT($AM2,6)="VMware"</formula>
    </cfRule>
  </conditionalFormatting>
  <conditionalFormatting sqref="BD2:BJ168">
    <cfRule type="expression" dxfId="17" priority="18" stopIfTrue="1">
      <formula>IFERROR(FIND("P-S",$AN2),"Not Found")="Not Found"</formula>
    </cfRule>
  </conditionalFormatting>
  <conditionalFormatting sqref="AK2:AK168">
    <cfRule type="duplicateValues" dxfId="16" priority="17" stopIfTrue="1"/>
  </conditionalFormatting>
  <conditionalFormatting sqref="AI2:AI168">
    <cfRule type="duplicateValues" dxfId="15" priority="16" stopIfTrue="1"/>
  </conditionalFormatting>
  <conditionalFormatting sqref="A2:CJ168">
    <cfRule type="expression" dxfId="14" priority="1" stopIfTrue="1">
      <formula>$Q2="PAT"</formula>
    </cfRule>
    <cfRule type="expression" dxfId="13" priority="2" stopIfTrue="1">
      <formula>$Q2="PAT/PROD"</formula>
    </cfRule>
    <cfRule type="expression" dxfId="12" priority="3" stopIfTrue="1">
      <formula>$Q2="PROD"</formula>
    </cfRule>
    <cfRule type="expression" dxfId="11" priority="4" stopIfTrue="1">
      <formula>$Q2="PROD2"</formula>
    </cfRule>
    <cfRule type="expression" dxfId="10" priority="5" stopIfTrue="1">
      <formula>$Q2="COB"</formula>
    </cfRule>
    <cfRule type="expression" dxfId="9" priority="6" stopIfTrue="1">
      <formula>$Q2="CERT"</formula>
    </cfRule>
    <cfRule type="expression" dxfId="8" priority="7" stopIfTrue="1">
      <formula>$Q2="PERF"</formula>
    </cfRule>
    <cfRule type="expression" dxfId="7" priority="8" stopIfTrue="1">
      <formula>$Q2="TRAINING"</formula>
    </cfRule>
    <cfRule type="expression" dxfId="6" priority="9" stopIfTrue="1">
      <formula>$Q2="UAT"</formula>
    </cfRule>
    <cfRule type="expression" dxfId="5" priority="10" stopIfTrue="1">
      <formula>$Q2="UAT2"</formula>
    </cfRule>
    <cfRule type="expression" dxfId="4" priority="11" stopIfTrue="1">
      <formula>$Q2="SIT"</formula>
    </cfRule>
    <cfRule type="expression" dxfId="3" priority="12" stopIfTrue="1">
      <formula>$Q2="SIT/DIT"</formula>
    </cfRule>
    <cfRule type="expression" dxfId="2" priority="13" stopIfTrue="1">
      <formula>$Q2="DIT"</formula>
    </cfRule>
    <cfRule type="expression" dxfId="1" priority="14" stopIfTrue="1">
      <formula>$Q2="DEV"</formula>
    </cfRule>
    <cfRule type="expression" dxfId="0" priority="15" stopIfTrue="1">
      <formula>$Q2="RND"</formula>
    </cfRule>
  </conditionalFormatting>
  <dataValidations count="17">
    <dataValidation type="list" allowBlank="1" showInputMessage="1" showErrorMessage="1" sqref="AX2:AX168">
      <formula1>INDIRECT("tClusterTypes")</formula1>
    </dataValidation>
    <dataValidation type="list" allowBlank="1" showInputMessage="1" showErrorMessage="1" sqref="AY2:AY168">
      <formula1>"Hot, Standby"</formula1>
    </dataValidation>
    <dataValidation type="list" allowBlank="1" showInputMessage="1" showErrorMessage="1" sqref="M2:M168">
      <formula1>"N, Y"</formula1>
    </dataValidation>
    <dataValidation type="list" allowBlank="1" showInputMessage="1" showErrorMessage="1" sqref="C2:C168">
      <formula1>"Completed, WIP, Not Started"</formula1>
    </dataValidation>
    <dataValidation type="list" allowBlank="1" showDropDown="1" showInputMessage="1" showErrorMessage="1" sqref="AF2:AF168">
      <formula1>"a"</formula1>
    </dataValidation>
    <dataValidation type="list" allowBlank="1" showInputMessage="1" showErrorMessage="1" sqref="AB2:AB168">
      <formula1>"Yes - Outside this BoM, Yes - Inside this BoM, No"</formula1>
    </dataValidation>
    <dataValidation type="list" allowBlank="1" showInputMessage="1" showErrorMessage="1" sqref="Q2:Q168">
      <formula1>INDIRECT("tEnv[Envs]")</formula1>
    </dataValidation>
    <dataValidation type="list" allowBlank="1" showInputMessage="1" sqref="AP2:AP168">
      <formula1>"NAS, SAN, Cloud-SAN, Full-SAN"</formula1>
    </dataValidation>
    <dataValidation type="list" allowBlank="1" showInputMessage="1" showErrorMessage="1" sqref="Y2:Y168">
      <formula1>INDIRECT("tProdList[Product List]")</formula1>
    </dataValidation>
    <dataValidation type="list" allowBlank="1" showInputMessage="1" showErrorMessage="1" sqref="BR2:BR168">
      <formula1>"Yes, No"</formula1>
    </dataValidation>
    <dataValidation type="list" allowBlank="1" showInputMessage="1" showErrorMessage="1" sqref="O2:O168">
      <formula1>INDIRECT("tRegion[Region]")</formula1>
    </dataValidation>
    <dataValidation type="list" allowBlank="1" showInputMessage="1" showErrorMessage="1" sqref="X2:X168">
      <formula1>INDIRECT("tTypes[Types]")</formula1>
    </dataValidation>
    <dataValidation type="list" allowBlank="1" showInputMessage="1" sqref="R2:R168">
      <formula1>INDIRECT("tStdEnvs[Std Envs]")</formula1>
    </dataValidation>
    <dataValidation type="list" allowBlank="1" showInputMessage="1" showErrorMessage="1" sqref="CD2:CD168 CB2:CB168">
      <formula1>INDIRECT("NetworkRates[Type of Network Connection]")</formula1>
    </dataValidation>
    <dataValidation type="list" allowBlank="1" showInputMessage="1" showErrorMessage="1" sqref="AM2:AM168">
      <formula1>INDIRECT("ServerModelsTier[Server Model]")</formula1>
    </dataValidation>
    <dataValidation type="list" allowBlank="1" showInputMessage="1" showErrorMessage="1" errorTitle="Please provide OS" promptTitle="Please provide OS" sqref="AQ2:AQ168">
      <formula1>INDIRECT("tOS[OS]")</formula1>
    </dataValidation>
    <dataValidation type="list" allowBlank="1" promptTitle="Select Software (Multiple)" prompt="To add multiple software simpy select the software.  To remove, select the unwanted software from the list." sqref="CJ126:CJ131 CJ150:CJ152 W2:W168">
      <formula1>INDIRECT("SWList[Software List]")</formula1>
    </dataValidation>
  </dataValidations>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9"/>
  <sheetViews>
    <sheetView topLeftCell="B1" workbookViewId="0">
      <selection activeCell="M45" sqref="M45"/>
    </sheetView>
  </sheetViews>
  <sheetFormatPr defaultRowHeight="15"/>
  <cols>
    <col min="1" max="1" width="6" style="225" bestFit="1" customWidth="1"/>
    <col min="2" max="2" width="9.42578125" style="225" bestFit="1" customWidth="1"/>
    <col min="3" max="3" width="18.7109375" style="225" bestFit="1" customWidth="1"/>
    <col min="4" max="4" width="11.140625" style="225" bestFit="1" customWidth="1"/>
    <col min="5" max="5" width="8.7109375" style="225" bestFit="1" customWidth="1"/>
    <col min="6" max="6" width="6.5703125" style="225" bestFit="1" customWidth="1"/>
    <col min="7" max="7" width="6" style="225" bestFit="1" customWidth="1"/>
    <col min="8" max="8" width="5.28515625" style="225" bestFit="1" customWidth="1"/>
    <col min="9" max="9" width="5.85546875" style="225" bestFit="1" customWidth="1"/>
    <col min="10" max="10" width="7.28515625" style="225" bestFit="1" customWidth="1"/>
    <col min="11" max="11" width="39.42578125" style="225" bestFit="1" customWidth="1"/>
    <col min="12" max="12" width="9.140625" style="225"/>
    <col min="13" max="13" width="13.140625" style="225" bestFit="1" customWidth="1"/>
    <col min="14" max="14" width="12.42578125" style="225" customWidth="1"/>
    <col min="15" max="15" width="14.42578125" style="225" customWidth="1"/>
    <col min="16" max="16384" width="9.140625" style="225"/>
  </cols>
  <sheetData>
    <row r="1" spans="1:15">
      <c r="A1" s="224" t="s">
        <v>415</v>
      </c>
      <c r="B1" s="224"/>
      <c r="C1" s="224"/>
      <c r="D1" s="224"/>
      <c r="E1" s="224"/>
      <c r="F1" s="224"/>
      <c r="G1" s="224"/>
      <c r="H1" s="224"/>
      <c r="I1" s="224"/>
      <c r="J1" s="224"/>
      <c r="K1" s="224"/>
    </row>
    <row r="2" spans="1:15" ht="30">
      <c r="A2" s="226" t="s">
        <v>5</v>
      </c>
      <c r="B2" s="227" t="s">
        <v>416</v>
      </c>
      <c r="C2" s="227" t="s">
        <v>6</v>
      </c>
      <c r="D2" s="202" t="s">
        <v>417</v>
      </c>
      <c r="E2" s="202" t="s">
        <v>418</v>
      </c>
      <c r="F2" s="202" t="s">
        <v>402</v>
      </c>
      <c r="G2" s="202" t="s">
        <v>403</v>
      </c>
      <c r="H2" s="202" t="s">
        <v>404</v>
      </c>
      <c r="I2" s="202" t="s">
        <v>406</v>
      </c>
      <c r="J2" s="202" t="s">
        <v>419</v>
      </c>
      <c r="K2" s="202" t="s">
        <v>420</v>
      </c>
      <c r="M2" s="13" t="s">
        <v>378</v>
      </c>
      <c r="N2" s="2" t="s">
        <v>423</v>
      </c>
      <c r="O2" s="2" t="s">
        <v>424</v>
      </c>
    </row>
    <row r="3" spans="1:15">
      <c r="A3" s="228" t="s">
        <v>0</v>
      </c>
      <c r="B3" s="229" t="s">
        <v>4</v>
      </c>
      <c r="C3" s="230" t="s">
        <v>7</v>
      </c>
      <c r="D3" s="230" t="s">
        <v>8</v>
      </c>
      <c r="E3" s="230" t="s">
        <v>421</v>
      </c>
      <c r="F3" s="231">
        <v>1</v>
      </c>
      <c r="G3" s="231">
        <v>4</v>
      </c>
      <c r="H3" s="231">
        <v>16</v>
      </c>
      <c r="I3" s="231">
        <v>300</v>
      </c>
      <c r="J3" s="230"/>
      <c r="K3" s="232" t="s">
        <v>9</v>
      </c>
      <c r="M3" s="258" t="s">
        <v>0</v>
      </c>
      <c r="N3" s="8">
        <v>3532</v>
      </c>
      <c r="O3" s="8">
        <v>2200</v>
      </c>
    </row>
    <row r="4" spans="1:15">
      <c r="A4" s="233" t="s">
        <v>0</v>
      </c>
      <c r="B4" s="234" t="s">
        <v>3</v>
      </c>
      <c r="C4" s="235" t="s">
        <v>7</v>
      </c>
      <c r="D4" s="235" t="s">
        <v>10</v>
      </c>
      <c r="E4" s="235" t="s">
        <v>421</v>
      </c>
      <c r="F4" s="236">
        <v>1</v>
      </c>
      <c r="G4" s="236">
        <v>4</v>
      </c>
      <c r="H4" s="236">
        <v>16</v>
      </c>
      <c r="I4" s="236">
        <v>300</v>
      </c>
      <c r="J4" s="235"/>
      <c r="K4" s="232" t="s">
        <v>9</v>
      </c>
      <c r="M4" s="259" t="s">
        <v>4</v>
      </c>
      <c r="N4" s="8">
        <v>1766</v>
      </c>
      <c r="O4" s="8">
        <v>1100</v>
      </c>
    </row>
    <row r="5" spans="1:15">
      <c r="A5" s="237" t="s">
        <v>0</v>
      </c>
      <c r="B5" s="238" t="s">
        <v>4</v>
      </c>
      <c r="C5" s="239" t="s">
        <v>11</v>
      </c>
      <c r="D5" s="239" t="s">
        <v>12</v>
      </c>
      <c r="E5" s="239" t="s">
        <v>421</v>
      </c>
      <c r="F5" s="240">
        <v>1</v>
      </c>
      <c r="G5" s="240">
        <v>12</v>
      </c>
      <c r="H5" s="240">
        <v>100</v>
      </c>
      <c r="I5" s="240">
        <v>500</v>
      </c>
      <c r="J5" s="241"/>
      <c r="K5" s="216" t="s">
        <v>13</v>
      </c>
      <c r="M5" s="259" t="s">
        <v>3</v>
      </c>
      <c r="N5" s="8">
        <v>1766</v>
      </c>
      <c r="O5" s="8">
        <v>1100</v>
      </c>
    </row>
    <row r="6" spans="1:15">
      <c r="A6" s="242" t="s">
        <v>0</v>
      </c>
      <c r="B6" s="243" t="s">
        <v>3</v>
      </c>
      <c r="C6" s="244" t="s">
        <v>11</v>
      </c>
      <c r="D6" s="244" t="s">
        <v>14</v>
      </c>
      <c r="E6" s="244" t="s">
        <v>421</v>
      </c>
      <c r="F6" s="245">
        <v>1</v>
      </c>
      <c r="G6" s="245">
        <v>12</v>
      </c>
      <c r="H6" s="245">
        <v>100</v>
      </c>
      <c r="I6" s="245">
        <v>500</v>
      </c>
      <c r="J6" s="246"/>
      <c r="K6" s="216" t="s">
        <v>13</v>
      </c>
      <c r="M6" s="258" t="s">
        <v>1</v>
      </c>
      <c r="N6" s="8">
        <v>1833</v>
      </c>
      <c r="O6" s="8">
        <v>1500</v>
      </c>
    </row>
    <row r="7" spans="1:15">
      <c r="A7" s="237" t="s">
        <v>0</v>
      </c>
      <c r="B7" s="238" t="s">
        <v>4</v>
      </c>
      <c r="C7" s="239" t="s">
        <v>11</v>
      </c>
      <c r="D7" s="239" t="s">
        <v>15</v>
      </c>
      <c r="E7" s="239" t="s">
        <v>421</v>
      </c>
      <c r="F7" s="240">
        <v>1</v>
      </c>
      <c r="G7" s="240">
        <v>12</v>
      </c>
      <c r="H7" s="240">
        <v>100</v>
      </c>
      <c r="I7" s="240">
        <v>500</v>
      </c>
      <c r="J7" s="241"/>
      <c r="K7" s="216" t="s">
        <v>13</v>
      </c>
      <c r="M7" s="259" t="s">
        <v>4</v>
      </c>
      <c r="N7" s="8">
        <v>800</v>
      </c>
      <c r="O7" s="8">
        <v>600</v>
      </c>
    </row>
    <row r="8" spans="1:15">
      <c r="A8" s="242" t="s">
        <v>0</v>
      </c>
      <c r="B8" s="243" t="s">
        <v>3</v>
      </c>
      <c r="C8" s="244" t="s">
        <v>11</v>
      </c>
      <c r="D8" s="244" t="s">
        <v>16</v>
      </c>
      <c r="E8" s="244" t="s">
        <v>421</v>
      </c>
      <c r="F8" s="245">
        <v>1</v>
      </c>
      <c r="G8" s="245">
        <v>12</v>
      </c>
      <c r="H8" s="245">
        <v>100</v>
      </c>
      <c r="I8" s="245">
        <v>500</v>
      </c>
      <c r="J8" s="246"/>
      <c r="K8" s="216" t="s">
        <v>13</v>
      </c>
      <c r="M8" s="259" t="s">
        <v>3</v>
      </c>
      <c r="N8" s="8">
        <v>1033</v>
      </c>
      <c r="O8" s="8">
        <v>900</v>
      </c>
    </row>
    <row r="9" spans="1:15">
      <c r="A9" s="228" t="s">
        <v>0</v>
      </c>
      <c r="B9" s="229" t="s">
        <v>4</v>
      </c>
      <c r="C9" s="230" t="s">
        <v>24</v>
      </c>
      <c r="D9" s="230" t="s">
        <v>25</v>
      </c>
      <c r="E9" s="230" t="s">
        <v>421</v>
      </c>
      <c r="F9" s="231">
        <v>1</v>
      </c>
      <c r="G9" s="231">
        <v>4</v>
      </c>
      <c r="H9" s="231">
        <v>16</v>
      </c>
      <c r="I9" s="231">
        <v>100</v>
      </c>
      <c r="J9" s="247">
        <v>800</v>
      </c>
      <c r="K9" s="248" t="s">
        <v>26</v>
      </c>
      <c r="M9" s="258" t="s">
        <v>379</v>
      </c>
      <c r="N9" s="8">
        <v>5365</v>
      </c>
      <c r="O9" s="8">
        <v>3700</v>
      </c>
    </row>
    <row r="10" spans="1:15">
      <c r="A10" s="228" t="s">
        <v>0</v>
      </c>
      <c r="B10" s="229" t="s">
        <v>4</v>
      </c>
      <c r="C10" s="230" t="s">
        <v>24</v>
      </c>
      <c r="D10" s="230" t="s">
        <v>27</v>
      </c>
      <c r="E10" s="230" t="s">
        <v>421</v>
      </c>
      <c r="F10" s="231">
        <v>1</v>
      </c>
      <c r="G10" s="231">
        <v>4</v>
      </c>
      <c r="H10" s="231">
        <v>16</v>
      </c>
      <c r="I10" s="231">
        <v>100</v>
      </c>
      <c r="J10" s="247"/>
      <c r="K10" s="248" t="s">
        <v>26</v>
      </c>
      <c r="M10"/>
      <c r="N10"/>
      <c r="O10"/>
    </row>
    <row r="11" spans="1:15">
      <c r="A11" s="233" t="s">
        <v>0</v>
      </c>
      <c r="B11" s="234" t="s">
        <v>3</v>
      </c>
      <c r="C11" s="235" t="s">
        <v>28</v>
      </c>
      <c r="D11" s="235" t="s">
        <v>29</v>
      </c>
      <c r="E11" s="235" t="s">
        <v>421</v>
      </c>
      <c r="F11" s="236">
        <v>1</v>
      </c>
      <c r="G11" s="236">
        <v>4</v>
      </c>
      <c r="H11" s="236">
        <v>16</v>
      </c>
      <c r="I11" s="236">
        <v>100</v>
      </c>
      <c r="J11" s="249">
        <v>800</v>
      </c>
      <c r="K11" s="248" t="s">
        <v>26</v>
      </c>
      <c r="M11"/>
      <c r="N11"/>
      <c r="O11"/>
    </row>
    <row r="12" spans="1:15">
      <c r="A12" s="233" t="s">
        <v>0</v>
      </c>
      <c r="B12" s="234" t="s">
        <v>3</v>
      </c>
      <c r="C12" s="235" t="s">
        <v>28</v>
      </c>
      <c r="D12" s="235" t="s">
        <v>30</v>
      </c>
      <c r="E12" s="235" t="s">
        <v>421</v>
      </c>
      <c r="F12" s="236">
        <v>1</v>
      </c>
      <c r="G12" s="236">
        <v>4</v>
      </c>
      <c r="H12" s="236">
        <v>16</v>
      </c>
      <c r="I12" s="236">
        <v>100</v>
      </c>
      <c r="J12" s="249"/>
      <c r="K12" s="248" t="s">
        <v>26</v>
      </c>
      <c r="M12"/>
      <c r="N12"/>
      <c r="O12"/>
    </row>
    <row r="13" spans="1:15">
      <c r="A13" s="208" t="s">
        <v>0</v>
      </c>
      <c r="B13" s="250" t="s">
        <v>4</v>
      </c>
      <c r="C13" s="251" t="s">
        <v>37</v>
      </c>
      <c r="D13" s="251" t="s">
        <v>38</v>
      </c>
      <c r="E13" s="251" t="s">
        <v>422</v>
      </c>
      <c r="F13" s="211">
        <v>1</v>
      </c>
      <c r="G13" s="211">
        <v>1</v>
      </c>
      <c r="H13" s="211">
        <v>16</v>
      </c>
      <c r="I13" s="211">
        <v>100</v>
      </c>
      <c r="J13" s="252">
        <v>300</v>
      </c>
      <c r="K13" s="253" t="s">
        <v>39</v>
      </c>
      <c r="M13"/>
      <c r="N13"/>
      <c r="O13"/>
    </row>
    <row r="14" spans="1:15">
      <c r="A14" s="208" t="s">
        <v>0</v>
      </c>
      <c r="B14" s="250" t="s">
        <v>4</v>
      </c>
      <c r="C14" s="251" t="s">
        <v>37</v>
      </c>
      <c r="D14" s="251" t="s">
        <v>40</v>
      </c>
      <c r="E14" s="251" t="s">
        <v>422</v>
      </c>
      <c r="F14" s="211">
        <v>1</v>
      </c>
      <c r="G14" s="211">
        <v>1</v>
      </c>
      <c r="H14" s="211">
        <v>16</v>
      </c>
      <c r="I14" s="211">
        <v>100</v>
      </c>
      <c r="J14" s="254"/>
      <c r="K14" s="253" t="s">
        <v>39</v>
      </c>
      <c r="M14"/>
      <c r="N14"/>
      <c r="O14"/>
    </row>
    <row r="15" spans="1:15">
      <c r="A15" s="208" t="s">
        <v>0</v>
      </c>
      <c r="B15" s="250" t="s">
        <v>4</v>
      </c>
      <c r="C15" s="251" t="s">
        <v>41</v>
      </c>
      <c r="D15" s="251" t="s">
        <v>42</v>
      </c>
      <c r="E15" s="251" t="s">
        <v>422</v>
      </c>
      <c r="F15" s="211">
        <v>1</v>
      </c>
      <c r="G15" s="211">
        <v>1</v>
      </c>
      <c r="H15" s="211">
        <v>8</v>
      </c>
      <c r="I15" s="211">
        <v>33</v>
      </c>
      <c r="J15" s="255"/>
      <c r="K15" s="255" t="s">
        <v>43</v>
      </c>
      <c r="M15"/>
      <c r="N15"/>
      <c r="O15"/>
    </row>
    <row r="16" spans="1:15">
      <c r="A16" s="208" t="s">
        <v>0</v>
      </c>
      <c r="B16" s="250" t="s">
        <v>4</v>
      </c>
      <c r="C16" s="251" t="s">
        <v>41</v>
      </c>
      <c r="D16" s="251" t="s">
        <v>44</v>
      </c>
      <c r="E16" s="251" t="s">
        <v>422</v>
      </c>
      <c r="F16" s="211">
        <v>1</v>
      </c>
      <c r="G16" s="211">
        <v>1</v>
      </c>
      <c r="H16" s="211">
        <v>8</v>
      </c>
      <c r="I16" s="211">
        <v>33</v>
      </c>
      <c r="J16" s="255"/>
      <c r="K16" s="255" t="s">
        <v>43</v>
      </c>
      <c r="M16"/>
      <c r="N16"/>
      <c r="O16"/>
    </row>
    <row r="17" spans="1:15">
      <c r="A17" s="208" t="s">
        <v>0</v>
      </c>
      <c r="B17" s="250" t="s">
        <v>3</v>
      </c>
      <c r="C17" s="251" t="s">
        <v>37</v>
      </c>
      <c r="D17" s="251" t="s">
        <v>38</v>
      </c>
      <c r="E17" s="251" t="s">
        <v>422</v>
      </c>
      <c r="F17" s="211">
        <v>1</v>
      </c>
      <c r="G17" s="211">
        <v>1</v>
      </c>
      <c r="H17" s="211">
        <v>16</v>
      </c>
      <c r="I17" s="211">
        <v>100</v>
      </c>
      <c r="J17" s="252">
        <v>300</v>
      </c>
      <c r="K17" s="253" t="s">
        <v>39</v>
      </c>
      <c r="M17"/>
      <c r="N17"/>
      <c r="O17"/>
    </row>
    <row r="18" spans="1:15">
      <c r="A18" s="208" t="s">
        <v>0</v>
      </c>
      <c r="B18" s="250" t="s">
        <v>3</v>
      </c>
      <c r="C18" s="251" t="s">
        <v>37</v>
      </c>
      <c r="D18" s="251" t="s">
        <v>40</v>
      </c>
      <c r="E18" s="251" t="s">
        <v>422</v>
      </c>
      <c r="F18" s="211">
        <v>1</v>
      </c>
      <c r="G18" s="211">
        <v>1</v>
      </c>
      <c r="H18" s="211">
        <v>16</v>
      </c>
      <c r="I18" s="211">
        <v>100</v>
      </c>
      <c r="J18" s="254"/>
      <c r="K18" s="253" t="s">
        <v>39</v>
      </c>
      <c r="M18"/>
      <c r="N18"/>
      <c r="O18"/>
    </row>
    <row r="19" spans="1:15">
      <c r="A19" s="208" t="s">
        <v>0</v>
      </c>
      <c r="B19" s="250" t="s">
        <v>3</v>
      </c>
      <c r="C19" s="251" t="s">
        <v>41</v>
      </c>
      <c r="D19" s="251" t="s">
        <v>389</v>
      </c>
      <c r="E19" s="251" t="s">
        <v>422</v>
      </c>
      <c r="F19" s="211">
        <v>1</v>
      </c>
      <c r="G19" s="211">
        <v>1</v>
      </c>
      <c r="H19" s="211">
        <v>8</v>
      </c>
      <c r="I19" s="211">
        <v>33</v>
      </c>
      <c r="J19" s="255"/>
      <c r="K19" s="255" t="s">
        <v>43</v>
      </c>
      <c r="M19"/>
      <c r="N19"/>
      <c r="O19"/>
    </row>
    <row r="20" spans="1:15">
      <c r="A20" s="208" t="s">
        <v>0</v>
      </c>
      <c r="B20" s="250" t="s">
        <v>3</v>
      </c>
      <c r="C20" s="251" t="s">
        <v>41</v>
      </c>
      <c r="D20" s="251" t="s">
        <v>390</v>
      </c>
      <c r="E20" s="251" t="s">
        <v>422</v>
      </c>
      <c r="F20" s="211">
        <v>1</v>
      </c>
      <c r="G20" s="211">
        <v>1</v>
      </c>
      <c r="H20" s="211">
        <v>8</v>
      </c>
      <c r="I20" s="211">
        <v>33</v>
      </c>
      <c r="J20" s="255"/>
      <c r="K20" s="255" t="s">
        <v>43</v>
      </c>
      <c r="M20"/>
      <c r="N20"/>
    </row>
    <row r="21" spans="1:15">
      <c r="A21" s="203" t="s">
        <v>1</v>
      </c>
      <c r="B21" s="204" t="s">
        <v>4</v>
      </c>
      <c r="C21" s="205" t="s">
        <v>7</v>
      </c>
      <c r="D21" s="205" t="s">
        <v>8</v>
      </c>
      <c r="E21" s="205" t="s">
        <v>421</v>
      </c>
      <c r="F21" s="206">
        <v>1</v>
      </c>
      <c r="G21" s="206">
        <v>4</v>
      </c>
      <c r="H21" s="206">
        <v>16</v>
      </c>
      <c r="I21" s="206">
        <v>200</v>
      </c>
      <c r="J21" s="205"/>
      <c r="K21" s="207" t="s">
        <v>9</v>
      </c>
      <c r="M21"/>
      <c r="N21"/>
    </row>
    <row r="22" spans="1:15">
      <c r="A22" s="208" t="s">
        <v>1</v>
      </c>
      <c r="B22" s="209" t="s">
        <v>3</v>
      </c>
      <c r="C22" s="210" t="s">
        <v>7</v>
      </c>
      <c r="D22" s="210" t="s">
        <v>10</v>
      </c>
      <c r="E22" s="210" t="s">
        <v>421</v>
      </c>
      <c r="F22" s="211">
        <v>1</v>
      </c>
      <c r="G22" s="211">
        <v>4</v>
      </c>
      <c r="H22" s="211">
        <v>16</v>
      </c>
      <c r="I22" s="211">
        <v>200</v>
      </c>
      <c r="J22" s="210"/>
      <c r="K22" s="207" t="s">
        <v>9</v>
      </c>
      <c r="M22"/>
      <c r="N22"/>
    </row>
    <row r="23" spans="1:15">
      <c r="A23" s="212" t="s">
        <v>1</v>
      </c>
      <c r="B23" s="212" t="s">
        <v>4</v>
      </c>
      <c r="C23" s="213" t="s">
        <v>45</v>
      </c>
      <c r="D23" s="213" t="s">
        <v>12</v>
      </c>
      <c r="E23" s="213" t="s">
        <v>421</v>
      </c>
      <c r="F23" s="214">
        <v>1</v>
      </c>
      <c r="G23" s="214">
        <v>8</v>
      </c>
      <c r="H23" s="214">
        <v>32</v>
      </c>
      <c r="I23" s="214">
        <v>400</v>
      </c>
      <c r="J23" s="215"/>
      <c r="K23" s="216" t="s">
        <v>13</v>
      </c>
      <c r="M23"/>
      <c r="N23"/>
    </row>
    <row r="24" spans="1:15">
      <c r="A24" s="217" t="s">
        <v>1</v>
      </c>
      <c r="B24" s="217" t="s">
        <v>3</v>
      </c>
      <c r="C24" s="218" t="s">
        <v>45</v>
      </c>
      <c r="D24" s="218" t="s">
        <v>14</v>
      </c>
      <c r="E24" s="218" t="s">
        <v>421</v>
      </c>
      <c r="F24" s="219">
        <v>1</v>
      </c>
      <c r="G24" s="219">
        <v>8</v>
      </c>
      <c r="H24" s="219">
        <v>32</v>
      </c>
      <c r="I24" s="219">
        <v>400</v>
      </c>
      <c r="J24" s="220"/>
      <c r="K24" s="216" t="s">
        <v>13</v>
      </c>
      <c r="M24"/>
    </row>
    <row r="25" spans="1:15">
      <c r="A25" s="217" t="s">
        <v>1</v>
      </c>
      <c r="B25" s="256" t="s">
        <v>3</v>
      </c>
      <c r="C25" s="210" t="s">
        <v>24</v>
      </c>
      <c r="D25" s="210" t="s">
        <v>20</v>
      </c>
      <c r="E25" s="210" t="s">
        <v>421</v>
      </c>
      <c r="F25" s="211">
        <v>1</v>
      </c>
      <c r="G25" s="211">
        <v>4</v>
      </c>
      <c r="H25" s="211">
        <v>16</v>
      </c>
      <c r="I25" s="211">
        <v>100</v>
      </c>
      <c r="J25" s="223">
        <v>600</v>
      </c>
      <c r="K25" s="222" t="s">
        <v>26</v>
      </c>
      <c r="M25"/>
    </row>
    <row r="26" spans="1:15">
      <c r="A26" s="217" t="s">
        <v>1</v>
      </c>
      <c r="B26" s="256" t="s">
        <v>3</v>
      </c>
      <c r="C26" s="210" t="s">
        <v>24</v>
      </c>
      <c r="D26" s="210" t="s">
        <v>21</v>
      </c>
      <c r="E26" s="210" t="s">
        <v>421</v>
      </c>
      <c r="F26" s="211">
        <v>1</v>
      </c>
      <c r="G26" s="211">
        <v>4</v>
      </c>
      <c r="H26" s="211">
        <v>16</v>
      </c>
      <c r="I26" s="211">
        <v>100</v>
      </c>
      <c r="J26" s="223"/>
      <c r="K26" s="222" t="s">
        <v>26</v>
      </c>
      <c r="M26"/>
    </row>
    <row r="27" spans="1:15">
      <c r="A27" s="217" t="s">
        <v>1</v>
      </c>
      <c r="B27" s="204" t="s">
        <v>4</v>
      </c>
      <c r="C27" s="205" t="s">
        <v>28</v>
      </c>
      <c r="D27" s="205" t="s">
        <v>22</v>
      </c>
      <c r="E27" s="205" t="s">
        <v>421</v>
      </c>
      <c r="F27" s="206">
        <v>1</v>
      </c>
      <c r="G27" s="206">
        <v>4</v>
      </c>
      <c r="H27" s="206">
        <v>16</v>
      </c>
      <c r="I27" s="206">
        <v>100</v>
      </c>
      <c r="J27" s="221">
        <v>600</v>
      </c>
      <c r="K27" s="257" t="s">
        <v>26</v>
      </c>
      <c r="M27"/>
    </row>
    <row r="28" spans="1:15">
      <c r="A28" s="217" t="s">
        <v>1</v>
      </c>
      <c r="B28" s="204" t="s">
        <v>4</v>
      </c>
      <c r="C28" s="205" t="s">
        <v>28</v>
      </c>
      <c r="D28" s="205" t="s">
        <v>23</v>
      </c>
      <c r="E28" s="205" t="s">
        <v>421</v>
      </c>
      <c r="F28" s="206">
        <v>1</v>
      </c>
      <c r="G28" s="206">
        <v>4</v>
      </c>
      <c r="H28" s="206">
        <v>16</v>
      </c>
      <c r="I28" s="206">
        <v>100</v>
      </c>
      <c r="J28" s="221"/>
      <c r="K28" s="257" t="s">
        <v>26</v>
      </c>
    </row>
    <row r="29" spans="1:15">
      <c r="A29" s="208" t="s">
        <v>1</v>
      </c>
      <c r="B29" s="250" t="s">
        <v>3</v>
      </c>
      <c r="C29" s="251" t="s">
        <v>37</v>
      </c>
      <c r="D29" s="251" t="s">
        <v>38</v>
      </c>
      <c r="E29" s="251" t="s">
        <v>422</v>
      </c>
      <c r="F29" s="211">
        <v>1</v>
      </c>
      <c r="G29" s="211">
        <v>1</v>
      </c>
      <c r="H29" s="211">
        <v>16</v>
      </c>
      <c r="I29" s="211">
        <v>100</v>
      </c>
      <c r="J29" s="223">
        <v>300</v>
      </c>
      <c r="K29" s="253" t="s">
        <v>39</v>
      </c>
    </row>
    <row r="30" spans="1:15">
      <c r="A30" s="208" t="s">
        <v>1</v>
      </c>
      <c r="B30" s="250" t="s">
        <v>3</v>
      </c>
      <c r="C30" s="251" t="s">
        <v>37</v>
      </c>
      <c r="D30" s="251" t="s">
        <v>40</v>
      </c>
      <c r="E30" s="251" t="s">
        <v>422</v>
      </c>
      <c r="F30" s="211">
        <v>1</v>
      </c>
      <c r="G30" s="211">
        <v>1</v>
      </c>
      <c r="H30" s="211">
        <v>16</v>
      </c>
      <c r="I30" s="211">
        <v>100</v>
      </c>
      <c r="J30" s="223"/>
      <c r="K30" s="253" t="s">
        <v>39</v>
      </c>
    </row>
    <row r="31" spans="1:15">
      <c r="A31" s="208" t="s">
        <v>1</v>
      </c>
      <c r="B31" s="250" t="s">
        <v>3</v>
      </c>
      <c r="C31" s="251" t="s">
        <v>41</v>
      </c>
      <c r="D31" s="251" t="s">
        <v>48</v>
      </c>
      <c r="E31" s="251" t="s">
        <v>422</v>
      </c>
      <c r="F31" s="211">
        <v>1</v>
      </c>
      <c r="G31" s="211">
        <v>1</v>
      </c>
      <c r="H31" s="211">
        <v>4</v>
      </c>
      <c r="I31" s="211">
        <v>33</v>
      </c>
      <c r="J31" s="255"/>
      <c r="K31" s="255" t="s">
        <v>43</v>
      </c>
    </row>
    <row r="35" spans="2:14">
      <c r="B35" s="186"/>
      <c r="C35" s="186"/>
      <c r="D35" s="186"/>
      <c r="E35" s="186"/>
      <c r="F35" s="186"/>
      <c r="G35" s="186"/>
      <c r="H35" s="186"/>
      <c r="I35" s="186"/>
      <c r="J35" s="186"/>
      <c r="K35" s="186"/>
      <c r="L35" s="186"/>
      <c r="M35"/>
      <c r="N35"/>
    </row>
    <row r="36" spans="2:14" ht="18.75">
      <c r="B36" s="187" t="s">
        <v>399</v>
      </c>
      <c r="C36" s="187"/>
      <c r="D36" s="187"/>
      <c r="E36" s="187"/>
      <c r="F36" s="187"/>
      <c r="G36" s="187"/>
      <c r="H36" s="187"/>
      <c r="I36" s="187"/>
      <c r="J36" s="187"/>
      <c r="K36" s="187"/>
      <c r="L36" s="186"/>
      <c r="M36"/>
      <c r="N36"/>
    </row>
    <row r="37" spans="2:14" ht="120">
      <c r="B37" s="188" t="s">
        <v>400</v>
      </c>
      <c r="C37" s="188" t="s">
        <v>401</v>
      </c>
      <c r="D37" s="188" t="s">
        <v>402</v>
      </c>
      <c r="E37" s="188" t="s">
        <v>403</v>
      </c>
      <c r="F37" s="188" t="s">
        <v>404</v>
      </c>
      <c r="G37" s="188" t="s">
        <v>405</v>
      </c>
      <c r="H37" s="188" t="s">
        <v>406</v>
      </c>
      <c r="I37" s="188" t="s">
        <v>407</v>
      </c>
      <c r="J37" s="188" t="s">
        <v>408</v>
      </c>
      <c r="K37" s="188" t="s">
        <v>409</v>
      </c>
      <c r="L37" s="189"/>
      <c r="M37"/>
      <c r="N37"/>
    </row>
    <row r="38" spans="2:14">
      <c r="B38" s="190" t="s">
        <v>410</v>
      </c>
      <c r="C38" s="191" t="s">
        <v>0</v>
      </c>
      <c r="D38" s="191">
        <v>10</v>
      </c>
      <c r="E38" s="191">
        <v>72</v>
      </c>
      <c r="F38" s="191">
        <v>496</v>
      </c>
      <c r="G38" s="191">
        <v>3000</v>
      </c>
      <c r="H38" s="191">
        <v>3000</v>
      </c>
      <c r="I38" s="191">
        <v>1600</v>
      </c>
      <c r="J38" s="191">
        <v>2</v>
      </c>
      <c r="K38" s="191"/>
      <c r="L38" s="186">
        <f>H38+I38</f>
        <v>4600</v>
      </c>
      <c r="M38"/>
      <c r="N38"/>
    </row>
    <row r="39" spans="2:14">
      <c r="B39" s="192"/>
      <c r="C39" s="193" t="s">
        <v>1</v>
      </c>
      <c r="D39" s="193">
        <v>8</v>
      </c>
      <c r="E39" s="193">
        <v>40</v>
      </c>
      <c r="F39" s="193">
        <v>160</v>
      </c>
      <c r="G39" s="193">
        <v>1600</v>
      </c>
      <c r="H39" s="193">
        <v>1600</v>
      </c>
      <c r="I39" s="193">
        <v>1200</v>
      </c>
      <c r="J39" s="193">
        <v>2</v>
      </c>
      <c r="K39" s="193"/>
      <c r="L39" s="186">
        <f>H39+I39</f>
        <v>2800</v>
      </c>
      <c r="M39"/>
      <c r="N39"/>
    </row>
    <row r="40" spans="2:14">
      <c r="B40" s="194"/>
      <c r="C40" s="193" t="s">
        <v>2</v>
      </c>
      <c r="D40" s="193">
        <v>4</v>
      </c>
      <c r="E40" s="193">
        <v>20</v>
      </c>
      <c r="F40" s="193">
        <v>80</v>
      </c>
      <c r="G40" s="193">
        <v>1400</v>
      </c>
      <c r="H40" s="193">
        <v>1400</v>
      </c>
      <c r="I40" s="193">
        <v>0</v>
      </c>
      <c r="J40" s="193">
        <v>1</v>
      </c>
      <c r="K40" s="193"/>
      <c r="L40" s="186">
        <f>H40+I40</f>
        <v>1400</v>
      </c>
      <c r="M40"/>
      <c r="N40"/>
    </row>
    <row r="41" spans="2:14">
      <c r="B41" s="195" t="s">
        <v>411</v>
      </c>
      <c r="C41" s="196"/>
      <c r="D41" s="197">
        <v>22</v>
      </c>
      <c r="E41" s="197">
        <v>132</v>
      </c>
      <c r="F41" s="197">
        <v>736</v>
      </c>
      <c r="G41" s="198">
        <v>6000</v>
      </c>
      <c r="H41" s="197">
        <v>6000</v>
      </c>
      <c r="I41" s="197">
        <v>2800</v>
      </c>
      <c r="J41" s="197">
        <v>5</v>
      </c>
      <c r="K41" s="197"/>
      <c r="L41" s="186"/>
      <c r="M41"/>
      <c r="N41"/>
    </row>
    <row r="42" spans="2:14">
      <c r="B42" s="186"/>
      <c r="C42" s="186"/>
      <c r="D42" s="186"/>
      <c r="E42" s="186"/>
      <c r="F42" s="186"/>
      <c r="G42" s="186"/>
      <c r="H42" s="186"/>
      <c r="I42" s="186"/>
      <c r="J42" s="186"/>
      <c r="K42" s="186"/>
      <c r="L42" s="186"/>
      <c r="M42"/>
      <c r="N42"/>
    </row>
    <row r="43" spans="2:14" ht="18.75">
      <c r="B43" s="199"/>
      <c r="C43" s="186"/>
      <c r="D43" s="186"/>
      <c r="E43" s="186"/>
      <c r="F43" s="186"/>
      <c r="G43" s="186"/>
      <c r="H43" s="186"/>
      <c r="I43" s="186"/>
      <c r="J43" s="186"/>
      <c r="K43" s="186"/>
      <c r="L43" s="186"/>
      <c r="M43"/>
      <c r="N43"/>
    </row>
    <row r="44" spans="2:14" ht="18.75">
      <c r="B44" s="187" t="s">
        <v>412</v>
      </c>
      <c r="C44" s="187"/>
      <c r="D44" s="187"/>
      <c r="E44" s="187"/>
      <c r="F44" s="187"/>
      <c r="G44" s="187"/>
      <c r="H44" s="187"/>
      <c r="I44" s="187"/>
      <c r="J44" s="187"/>
      <c r="K44" s="186"/>
      <c r="L44" s="186"/>
      <c r="M44"/>
      <c r="N44"/>
    </row>
    <row r="45" spans="2:14" ht="120">
      <c r="B45" s="188" t="s">
        <v>400</v>
      </c>
      <c r="C45" s="188" t="s">
        <v>401</v>
      </c>
      <c r="D45" s="188"/>
      <c r="E45" s="188" t="s">
        <v>259</v>
      </c>
      <c r="F45" s="188" t="s">
        <v>404</v>
      </c>
      <c r="G45" s="188" t="s">
        <v>405</v>
      </c>
      <c r="H45" s="188" t="s">
        <v>406</v>
      </c>
      <c r="I45" s="188" t="s">
        <v>407</v>
      </c>
      <c r="J45" s="188" t="s">
        <v>409</v>
      </c>
      <c r="K45" s="186"/>
      <c r="L45" s="186"/>
      <c r="M45"/>
      <c r="N45"/>
    </row>
    <row r="46" spans="2:14">
      <c r="B46" s="190" t="s">
        <v>410</v>
      </c>
      <c r="C46" s="191" t="s">
        <v>0</v>
      </c>
      <c r="D46" s="200"/>
      <c r="E46" s="201">
        <v>4</v>
      </c>
      <c r="F46" s="201">
        <v>48</v>
      </c>
      <c r="G46" s="201">
        <v>240</v>
      </c>
      <c r="H46" s="201">
        <v>240</v>
      </c>
      <c r="I46" s="201">
        <v>300</v>
      </c>
      <c r="J46" s="201"/>
      <c r="K46" s="186">
        <f>G46+H46</f>
        <v>480</v>
      </c>
      <c r="L46" s="186"/>
      <c r="M46"/>
      <c r="N46"/>
    </row>
    <row r="47" spans="2:14">
      <c r="B47" s="192"/>
      <c r="C47" s="193" t="s">
        <v>1</v>
      </c>
      <c r="D47" s="193"/>
      <c r="E47" s="201">
        <v>3</v>
      </c>
      <c r="F47" s="201">
        <v>36</v>
      </c>
      <c r="G47" s="201">
        <v>220</v>
      </c>
      <c r="H47" s="201">
        <v>220</v>
      </c>
      <c r="I47" s="201">
        <v>300</v>
      </c>
      <c r="J47" s="193"/>
      <c r="K47" s="186">
        <f>G47+H47</f>
        <v>440</v>
      </c>
      <c r="L47" s="186"/>
      <c r="M47"/>
      <c r="N47"/>
    </row>
    <row r="48" spans="2:14">
      <c r="B48" s="194"/>
      <c r="C48" s="193" t="s">
        <v>2</v>
      </c>
      <c r="D48" s="193"/>
      <c r="E48" s="201">
        <v>2</v>
      </c>
      <c r="F48" s="201">
        <v>24</v>
      </c>
      <c r="G48" s="201">
        <v>340</v>
      </c>
      <c r="H48" s="201">
        <v>340</v>
      </c>
      <c r="I48" s="201">
        <v>0</v>
      </c>
      <c r="J48" s="193"/>
      <c r="K48" s="186">
        <f>G48+H48</f>
        <v>680</v>
      </c>
      <c r="L48" s="186"/>
      <c r="M48"/>
      <c r="N48"/>
    </row>
    <row r="49" spans="2:14">
      <c r="B49" s="195" t="s">
        <v>411</v>
      </c>
      <c r="C49" s="196"/>
      <c r="D49" s="196"/>
      <c r="E49" s="197">
        <v>9</v>
      </c>
      <c r="F49" s="197">
        <v>108</v>
      </c>
      <c r="G49" s="197">
        <v>800</v>
      </c>
      <c r="H49" s="197">
        <v>800</v>
      </c>
      <c r="I49" s="197">
        <v>600</v>
      </c>
      <c r="J49" s="197"/>
      <c r="K49" s="186"/>
      <c r="L49" s="186"/>
      <c r="M49"/>
      <c r="N49"/>
    </row>
  </sheetData>
  <mergeCells count="12">
    <mergeCell ref="J27:J28"/>
    <mergeCell ref="J29:J30"/>
    <mergeCell ref="B36:K36"/>
    <mergeCell ref="B38:B40"/>
    <mergeCell ref="B44:J44"/>
    <mergeCell ref="B46:B48"/>
    <mergeCell ref="A1:K1"/>
    <mergeCell ref="J9:J10"/>
    <mergeCell ref="J11:J12"/>
    <mergeCell ref="J13:J14"/>
    <mergeCell ref="J17:J18"/>
    <mergeCell ref="J25:J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Main</vt:lpstr>
      <vt:lpstr>Source_New</vt:lpstr>
      <vt:lpstr>Poland G2C source</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Ashok Kumar Reddy</dc:creator>
  <cp:lastModifiedBy>Ashok Kumar Reddy</cp:lastModifiedBy>
  <dcterms:created xsi:type="dcterms:W3CDTF">2014-03-11T11:13:42Z</dcterms:created>
  <dcterms:modified xsi:type="dcterms:W3CDTF">2014-03-21T13:47:28Z</dcterms:modified>
</cp:coreProperties>
</file>