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2940" yWindow="105" windowWidth="20955" windowHeight="10170"/>
  </bookViews>
  <sheets>
    <sheet name="Thin summary" sheetId="1" r:id="rId1"/>
    <sheet name="VMAX table" sheetId="3" r:id="rId2"/>
    <sheet name="HDS table" sheetId="2" r:id="rId3"/>
    <sheet name="Sheet1" sheetId="4" r:id="rId4"/>
    <sheet name="array usage summary" sheetId="5" r:id="rId5"/>
  </sheets>
  <calcPr calcId="125725"/>
</workbook>
</file>

<file path=xl/calcChain.xml><?xml version="1.0" encoding="utf-8"?>
<calcChain xmlns="http://schemas.openxmlformats.org/spreadsheetml/2006/main">
  <c r="Q21" i="1"/>
  <c r="Q20"/>
  <c r="Q35" l="1"/>
  <c r="Q36"/>
  <c r="Q34"/>
  <c r="Q33"/>
  <c r="Q32"/>
  <c r="Q31"/>
  <c r="Q29"/>
  <c r="Q27"/>
  <c r="Q25"/>
  <c r="Q23"/>
  <c r="A18"/>
  <c r="A17"/>
  <c r="A16"/>
  <c r="A15"/>
  <c r="A14"/>
  <c r="A13"/>
  <c r="A12"/>
  <c r="A11"/>
  <c r="Q17"/>
  <c r="Q18"/>
  <c r="B34"/>
  <c r="B33"/>
  <c r="K21"/>
  <c r="J20"/>
  <c r="L21"/>
  <c r="I18"/>
  <c r="D21"/>
  <c r="J21"/>
  <c r="B18"/>
  <c r="F20"/>
  <c r="H21"/>
  <c r="B21"/>
  <c r="I20"/>
  <c r="F21"/>
  <c r="G20"/>
  <c r="B36"/>
  <c r="B27"/>
  <c r="B29"/>
  <c r="E20"/>
  <c r="K20"/>
  <c r="J18"/>
  <c r="B20"/>
  <c r="E21"/>
  <c r="D20"/>
  <c r="G21"/>
  <c r="D17"/>
  <c r="I21"/>
  <c r="H20"/>
  <c r="K18"/>
  <c r="L20"/>
  <c r="S36" l="1"/>
  <c r="S29"/>
  <c r="S33"/>
  <c r="S27"/>
  <c r="S34"/>
  <c r="W21"/>
  <c r="W20"/>
  <c r="V18"/>
  <c r="V20"/>
  <c r="V21"/>
  <c r="T17"/>
  <c r="T20"/>
  <c r="T21"/>
  <c r="S21"/>
  <c r="S18"/>
  <c r="S20"/>
  <c r="O20"/>
  <c r="M20"/>
  <c r="N20"/>
  <c r="O21"/>
  <c r="M21"/>
  <c r="N21"/>
  <c r="H18"/>
  <c r="J17"/>
  <c r="K17"/>
  <c r="L18"/>
  <c r="F17"/>
  <c r="F18"/>
  <c r="G18"/>
  <c r="H17"/>
  <c r="U20" l="1"/>
  <c r="U21"/>
  <c r="X21" s="1"/>
  <c r="Y21" s="1"/>
  <c r="Z21" s="1"/>
  <c r="X20"/>
  <c r="Y20" s="1"/>
  <c r="Z20" s="1"/>
  <c r="V17"/>
  <c r="M18"/>
  <c r="E18"/>
  <c r="D18"/>
  <c r="G17"/>
  <c r="I17"/>
  <c r="B17"/>
  <c r="E17"/>
  <c r="L17"/>
  <c r="W17" l="1"/>
  <c r="W18"/>
  <c r="T18"/>
  <c r="S17"/>
  <c r="N18"/>
  <c r="O18"/>
  <c r="U18" s="1"/>
  <c r="N17"/>
  <c r="O17"/>
  <c r="M17"/>
  <c r="U17" l="1"/>
  <c r="X18"/>
  <c r="Y18" s="1"/>
  <c r="Z18" s="1"/>
  <c r="X17"/>
  <c r="Y17" s="1"/>
  <c r="Z17" s="1"/>
  <c r="A19"/>
  <c r="Q19"/>
  <c r="J19"/>
  <c r="Q16" l="1"/>
  <c r="B19"/>
  <c r="I16"/>
  <c r="D16"/>
  <c r="E19"/>
  <c r="F19"/>
  <c r="J16"/>
  <c r="D19"/>
  <c r="G19"/>
  <c r="K16"/>
  <c r="L19"/>
  <c r="K19"/>
  <c r="I19"/>
  <c r="F16"/>
  <c r="H19"/>
  <c r="B16"/>
  <c r="W19" l="1"/>
  <c r="V19"/>
  <c r="V16"/>
  <c r="T19"/>
  <c r="T16"/>
  <c r="S16"/>
  <c r="S19"/>
  <c r="O19"/>
  <c r="N19"/>
  <c r="M19"/>
  <c r="U19" s="1"/>
  <c r="E16"/>
  <c r="H16"/>
  <c r="G16"/>
  <c r="L16"/>
  <c r="X19" l="1"/>
  <c r="Y19" s="1"/>
  <c r="Z19" s="1"/>
  <c r="W16"/>
  <c r="M16"/>
  <c r="O16"/>
  <c r="N16"/>
  <c r="Q15"/>
  <c r="Q14"/>
  <c r="B32"/>
  <c r="U16" l="1"/>
  <c r="S32"/>
  <c r="X16"/>
  <c r="Y16" s="1"/>
  <c r="Z16" s="1"/>
  <c r="L36"/>
  <c r="K36"/>
  <c r="J36"/>
  <c r="G36"/>
  <c r="F36"/>
  <c r="E36"/>
  <c r="W36" s="1"/>
  <c r="D36"/>
  <c r="T36" s="1"/>
  <c r="A36"/>
  <c r="L35"/>
  <c r="K35"/>
  <c r="J35"/>
  <c r="I35"/>
  <c r="H35"/>
  <c r="G35"/>
  <c r="F35"/>
  <c r="E35"/>
  <c r="W35" s="1"/>
  <c r="D35"/>
  <c r="T35" s="1"/>
  <c r="A35"/>
  <c r="A34"/>
  <c r="A33"/>
  <c r="A32"/>
  <c r="A31"/>
  <c r="D34"/>
  <c r="T34" s="1"/>
  <c r="D33"/>
  <c r="T33" s="1"/>
  <c r="D32"/>
  <c r="T32" s="1"/>
  <c r="L34"/>
  <c r="L33"/>
  <c r="L32"/>
  <c r="K34"/>
  <c r="K33"/>
  <c r="K32"/>
  <c r="J34"/>
  <c r="J33"/>
  <c r="J32"/>
  <c r="G34"/>
  <c r="G33"/>
  <c r="G32"/>
  <c r="H32"/>
  <c r="I32"/>
  <c r="E34"/>
  <c r="W34" s="1"/>
  <c r="E33"/>
  <c r="W33" s="1"/>
  <c r="E32"/>
  <c r="W32" s="1"/>
  <c r="F34"/>
  <c r="F33"/>
  <c r="F32"/>
  <c r="I36"/>
  <c r="H36"/>
  <c r="I34"/>
  <c r="H34"/>
  <c r="I33"/>
  <c r="H33"/>
  <c r="D14"/>
  <c r="B15"/>
  <c r="L15"/>
  <c r="F14"/>
  <c r="I14"/>
  <c r="J15"/>
  <c r="G14"/>
  <c r="H15"/>
  <c r="I15"/>
  <c r="E14"/>
  <c r="F15"/>
  <c r="K14"/>
  <c r="B14"/>
  <c r="H14"/>
  <c r="G15"/>
  <c r="K15"/>
  <c r="L14"/>
  <c r="J14"/>
  <c r="D15"/>
  <c r="E15"/>
  <c r="V33" l="1"/>
  <c r="V35"/>
  <c r="U36"/>
  <c r="X36" s="1"/>
  <c r="V36"/>
  <c r="V32"/>
  <c r="V34"/>
  <c r="W14"/>
  <c r="W15"/>
  <c r="V15"/>
  <c r="V14"/>
  <c r="T15"/>
  <c r="T14"/>
  <c r="S14"/>
  <c r="S15"/>
  <c r="N36"/>
  <c r="M33"/>
  <c r="U33" s="1"/>
  <c r="M35"/>
  <c r="U35" s="1"/>
  <c r="X35" s="1"/>
  <c r="M36"/>
  <c r="M32"/>
  <c r="U32" s="1"/>
  <c r="M34"/>
  <c r="U34" s="1"/>
  <c r="N35"/>
  <c r="M14"/>
  <c r="M15"/>
  <c r="N14"/>
  <c r="N15"/>
  <c r="O14"/>
  <c r="O15"/>
  <c r="O35"/>
  <c r="N32"/>
  <c r="O32"/>
  <c r="N34"/>
  <c r="O36"/>
  <c r="N33"/>
  <c r="O34"/>
  <c r="O33"/>
  <c r="Y36" l="1"/>
  <c r="Z36" s="1"/>
  <c r="Y35"/>
  <c r="Z35" s="1"/>
  <c r="U14"/>
  <c r="U15"/>
  <c r="X32"/>
  <c r="Y32" s="1"/>
  <c r="Z32" s="1"/>
  <c r="X34"/>
  <c r="Y34" s="1"/>
  <c r="Z34" s="1"/>
  <c r="X33"/>
  <c r="Y33" s="1"/>
  <c r="Z33" s="1"/>
  <c r="X15"/>
  <c r="Y15" s="1"/>
  <c r="Z15" s="1"/>
  <c r="X14"/>
  <c r="Y14" s="1"/>
  <c r="Z14" s="1"/>
  <c r="Y59"/>
  <c r="Y60" s="1"/>
  <c r="W59"/>
  <c r="W60" s="1"/>
  <c r="U59"/>
  <c r="U60" s="1"/>
  <c r="U61" s="1"/>
  <c r="V59"/>
  <c r="V60" s="1"/>
  <c r="V61" s="1"/>
  <c r="X59"/>
  <c r="X60" s="1"/>
  <c r="X61" s="1"/>
  <c r="T59"/>
  <c r="T60" s="1"/>
  <c r="T61" s="1"/>
  <c r="U67"/>
  <c r="V71"/>
  <c r="Q4" l="1"/>
  <c r="Q5"/>
  <c r="Q6"/>
  <c r="Q7"/>
  <c r="Q8"/>
  <c r="Q9"/>
  <c r="Q10"/>
  <c r="Q11"/>
  <c r="Q12"/>
  <c r="Q13"/>
  <c r="Q3"/>
  <c r="B25"/>
  <c r="B31"/>
  <c r="B12"/>
  <c r="J12"/>
  <c r="B9"/>
  <c r="I12"/>
  <c r="H3"/>
  <c r="H4"/>
  <c r="J10"/>
  <c r="E4"/>
  <c r="K10"/>
  <c r="H8"/>
  <c r="D8"/>
  <c r="K6"/>
  <c r="G12"/>
  <c r="J11"/>
  <c r="F12"/>
  <c r="F6"/>
  <c r="K12"/>
  <c r="K3"/>
  <c r="E9"/>
  <c r="E8"/>
  <c r="I7"/>
  <c r="B23"/>
  <c r="D6"/>
  <c r="J6"/>
  <c r="F13"/>
  <c r="E6"/>
  <c r="K7"/>
  <c r="B8"/>
  <c r="D12"/>
  <c r="L6"/>
  <c r="B3"/>
  <c r="J7"/>
  <c r="K4"/>
  <c r="L4"/>
  <c r="L5"/>
  <c r="B4"/>
  <c r="I3"/>
  <c r="F11"/>
  <c r="D4"/>
  <c r="E3"/>
  <c r="F7"/>
  <c r="L11"/>
  <c r="G3"/>
  <c r="V3" l="1"/>
  <c r="S31"/>
  <c r="S25"/>
  <c r="S23"/>
  <c r="W8"/>
  <c r="W9"/>
  <c r="W4"/>
  <c r="W6"/>
  <c r="V12"/>
  <c r="V6"/>
  <c r="V4"/>
  <c r="V10"/>
  <c r="V7"/>
  <c r="T4"/>
  <c r="T8"/>
  <c r="T12"/>
  <c r="T6"/>
  <c r="S4"/>
  <c r="S8"/>
  <c r="S9"/>
  <c r="S12"/>
  <c r="W3"/>
  <c r="S3"/>
  <c r="M12"/>
  <c r="G45"/>
  <c r="A7"/>
  <c r="B8" i="5"/>
  <c r="B7"/>
  <c r="B6"/>
  <c r="B5"/>
  <c r="B4"/>
  <c r="B3"/>
  <c r="D13" i="1"/>
  <c r="B10"/>
  <c r="H7"/>
  <c r="D3"/>
  <c r="G7"/>
  <c r="K9"/>
  <c r="F4"/>
  <c r="D9"/>
  <c r="F9"/>
  <c r="L13"/>
  <c r="I4"/>
  <c r="G4"/>
  <c r="G10"/>
  <c r="B6"/>
  <c r="H12"/>
  <c r="G11"/>
  <c r="L8"/>
  <c r="B5"/>
  <c r="G13"/>
  <c r="E12"/>
  <c r="D11"/>
  <c r="E13"/>
  <c r="H5"/>
  <c r="G8"/>
  <c r="D5"/>
  <c r="I6"/>
  <c r="I10"/>
  <c r="B13"/>
  <c r="H6"/>
  <c r="J8"/>
  <c r="L3"/>
  <c r="L7"/>
  <c r="H10"/>
  <c r="J4"/>
  <c r="E7"/>
  <c r="G5"/>
  <c r="D7"/>
  <c r="I11"/>
  <c r="F8"/>
  <c r="I8"/>
  <c r="H9"/>
  <c r="L12"/>
  <c r="J5"/>
  <c r="L10"/>
  <c r="B7"/>
  <c r="E10"/>
  <c r="K8"/>
  <c r="K13"/>
  <c r="G6"/>
  <c r="F10"/>
  <c r="D10"/>
  <c r="W13" l="1"/>
  <c r="W12"/>
  <c r="W10"/>
  <c r="W7"/>
  <c r="V13"/>
  <c r="V8"/>
  <c r="V9"/>
  <c r="T5"/>
  <c r="T10"/>
  <c r="T11"/>
  <c r="T7"/>
  <c r="T9"/>
  <c r="T13"/>
  <c r="S7"/>
  <c r="S5"/>
  <c r="S6"/>
  <c r="S10"/>
  <c r="S13"/>
  <c r="T3"/>
  <c r="M11"/>
  <c r="M5"/>
  <c r="M6"/>
  <c r="M8"/>
  <c r="M10"/>
  <c r="M4"/>
  <c r="M7"/>
  <c r="G48"/>
  <c r="W71" s="1"/>
  <c r="W61" s="1"/>
  <c r="O12"/>
  <c r="U12" s="1"/>
  <c r="N12"/>
  <c r="J3"/>
  <c r="K11"/>
  <c r="H13"/>
  <c r="J9"/>
  <c r="I13"/>
  <c r="H11"/>
  <c r="E11"/>
  <c r="I9"/>
  <c r="L9"/>
  <c r="B11"/>
  <c r="F3"/>
  <c r="F5"/>
  <c r="K5"/>
  <c r="G9"/>
  <c r="E5"/>
  <c r="I5"/>
  <c r="J13"/>
  <c r="W11" l="1"/>
  <c r="W5"/>
  <c r="V5"/>
  <c r="V11"/>
  <c r="S11"/>
  <c r="M9"/>
  <c r="M13"/>
  <c r="M3"/>
  <c r="G49"/>
  <c r="Y71" s="1"/>
  <c r="Y61" s="1"/>
  <c r="N7"/>
  <c r="O7"/>
  <c r="U7" s="1"/>
  <c r="O11"/>
  <c r="U11" s="1"/>
  <c r="N11"/>
  <c r="O13"/>
  <c r="N13"/>
  <c r="U13" l="1"/>
  <c r="X12"/>
  <c r="X13"/>
  <c r="Y13" s="1"/>
  <c r="Z13" s="1"/>
  <c r="T38"/>
  <c r="W38"/>
  <c r="A10"/>
  <c r="I23"/>
  <c r="A9"/>
  <c r="A23"/>
  <c r="Y12" l="1"/>
  <c r="Z12" s="1"/>
  <c r="X7"/>
  <c r="X11"/>
  <c r="V38"/>
  <c r="N9"/>
  <c r="Y11" l="1"/>
  <c r="Z11" s="1"/>
  <c r="Y7"/>
  <c r="Z7" s="1"/>
  <c r="O9"/>
  <c r="U9" s="1"/>
  <c r="L31"/>
  <c r="K31"/>
  <c r="J31"/>
  <c r="I31"/>
  <c r="H31"/>
  <c r="G31"/>
  <c r="F31"/>
  <c r="E31"/>
  <c r="W31" s="1"/>
  <c r="D31"/>
  <c r="T31" s="1"/>
  <c r="I30"/>
  <c r="H30"/>
  <c r="G30"/>
  <c r="H24"/>
  <c r="G24"/>
  <c r="E24"/>
  <c r="W24" s="1"/>
  <c r="V31" l="1"/>
  <c r="E46"/>
  <c r="M31"/>
  <c r="O31"/>
  <c r="N10"/>
  <c r="O10"/>
  <c r="U10" s="1"/>
  <c r="N31"/>
  <c r="E30"/>
  <c r="W30" s="1"/>
  <c r="D24"/>
  <c r="T24" s="1"/>
  <c r="D30"/>
  <c r="T30" s="1"/>
  <c r="K30"/>
  <c r="J30"/>
  <c r="M30" s="1"/>
  <c r="K24"/>
  <c r="J24"/>
  <c r="M24" s="1"/>
  <c r="I24"/>
  <c r="V30" l="1"/>
  <c r="X31"/>
  <c r="Y31" s="1"/>
  <c r="Z31" s="1"/>
  <c r="U31"/>
  <c r="U24"/>
  <c r="N24"/>
  <c r="V24"/>
  <c r="X9"/>
  <c r="F24"/>
  <c r="O24"/>
  <c r="F30"/>
  <c r="O30"/>
  <c r="N30"/>
  <c r="L24"/>
  <c r="L30"/>
  <c r="C23"/>
  <c r="C25"/>
  <c r="C30"/>
  <c r="C29"/>
  <c r="C28"/>
  <c r="C27"/>
  <c r="C26"/>
  <c r="X24" l="1"/>
  <c r="Y24" s="1"/>
  <c r="Z24" s="1"/>
  <c r="U30"/>
  <c r="X30" s="1"/>
  <c r="Y30" s="1"/>
  <c r="Z30" s="1"/>
  <c r="Y9"/>
  <c r="Z9" s="1"/>
  <c r="X10"/>
  <c r="F28"/>
  <c r="F27"/>
  <c r="F23"/>
  <c r="F26"/>
  <c r="A30"/>
  <c r="A29"/>
  <c r="A28"/>
  <c r="A27"/>
  <c r="A26"/>
  <c r="L29"/>
  <c r="K29"/>
  <c r="J29"/>
  <c r="I29"/>
  <c r="H29"/>
  <c r="G29"/>
  <c r="F29"/>
  <c r="E29"/>
  <c r="W29" s="1"/>
  <c r="D29"/>
  <c r="T29" s="1"/>
  <c r="K28"/>
  <c r="J28"/>
  <c r="I28"/>
  <c r="H28"/>
  <c r="G28"/>
  <c r="E28"/>
  <c r="W28" s="1"/>
  <c r="D28"/>
  <c r="A25"/>
  <c r="A24"/>
  <c r="K27"/>
  <c r="J27"/>
  <c r="I27"/>
  <c r="H27"/>
  <c r="G27"/>
  <c r="E27"/>
  <c r="W27" s="1"/>
  <c r="D27"/>
  <c r="T27" s="1"/>
  <c r="K26"/>
  <c r="J26"/>
  <c r="I26"/>
  <c r="H26"/>
  <c r="G26"/>
  <c r="E26"/>
  <c r="W26" s="1"/>
  <c r="D26"/>
  <c r="L25"/>
  <c r="K25"/>
  <c r="J25"/>
  <c r="I25"/>
  <c r="H25"/>
  <c r="G25"/>
  <c r="F25"/>
  <c r="E25"/>
  <c r="W25" s="1"/>
  <c r="D25"/>
  <c r="T25" s="1"/>
  <c r="H23"/>
  <c r="K23"/>
  <c r="J23"/>
  <c r="G23"/>
  <c r="E23"/>
  <c r="W23" s="1"/>
  <c r="D23"/>
  <c r="T23" s="1"/>
  <c r="V27" l="1"/>
  <c r="V23"/>
  <c r="V25"/>
  <c r="V26"/>
  <c r="V28"/>
  <c r="U28"/>
  <c r="V29"/>
  <c r="W39"/>
  <c r="Y67"/>
  <c r="T26"/>
  <c r="W67"/>
  <c r="T28"/>
  <c r="Y10"/>
  <c r="Z10" s="1"/>
  <c r="M25"/>
  <c r="M26"/>
  <c r="U26" s="1"/>
  <c r="M28"/>
  <c r="M29"/>
  <c r="U29" s="1"/>
  <c r="M23"/>
  <c r="M27"/>
  <c r="U27" s="1"/>
  <c r="X68"/>
  <c r="O23"/>
  <c r="U23" s="1"/>
  <c r="O26"/>
  <c r="O27"/>
  <c r="X67"/>
  <c r="O25"/>
  <c r="U25" s="1"/>
  <c r="O28"/>
  <c r="O29"/>
  <c r="N25"/>
  <c r="N26"/>
  <c r="N27"/>
  <c r="N29"/>
  <c r="N28"/>
  <c r="N23"/>
  <c r="L26"/>
  <c r="L23"/>
  <c r="L27"/>
  <c r="L28"/>
  <c r="A8"/>
  <c r="A6"/>
  <c r="A5"/>
  <c r="A4"/>
  <c r="A3"/>
  <c r="L2"/>
  <c r="K2"/>
  <c r="J2"/>
  <c r="I2"/>
  <c r="H2"/>
  <c r="G2"/>
  <c r="G1"/>
  <c r="F2"/>
  <c r="E2"/>
  <c r="V39" l="1"/>
  <c r="X25"/>
  <c r="Y25" s="1"/>
  <c r="Z25" s="1"/>
  <c r="T39"/>
  <c r="X27"/>
  <c r="Y27" s="1"/>
  <c r="Z27" s="1"/>
  <c r="X29"/>
  <c r="Y29" s="1"/>
  <c r="Z29" s="1"/>
  <c r="X28"/>
  <c r="Y28" s="1"/>
  <c r="Z28" s="1"/>
  <c r="X23"/>
  <c r="Y23" s="1"/>
  <c r="Z23" s="1"/>
  <c r="V68"/>
  <c r="U68"/>
  <c r="T68"/>
  <c r="N4"/>
  <c r="N6"/>
  <c r="V67"/>
  <c r="T67"/>
  <c r="O4"/>
  <c r="U4" s="1"/>
  <c r="O6"/>
  <c r="U6" s="1"/>
  <c r="X69"/>
  <c r="W68"/>
  <c r="Y68"/>
  <c r="N8"/>
  <c r="N5"/>
  <c r="U39" l="1"/>
  <c r="X39" s="1"/>
  <c r="Y39" s="1"/>
  <c r="Z39" s="1"/>
  <c r="X26"/>
  <c r="Y26" s="1"/>
  <c r="Z26" s="1"/>
  <c r="V69"/>
  <c r="Y69"/>
  <c r="U69"/>
  <c r="T69"/>
  <c r="X72"/>
  <c r="C7" i="5"/>
  <c r="D7" s="1"/>
  <c r="W72" i="1"/>
  <c r="C6" i="5"/>
  <c r="D6" s="1"/>
  <c r="W69" i="1"/>
  <c r="O8"/>
  <c r="U8" s="1"/>
  <c r="O5"/>
  <c r="U5" s="1"/>
  <c r="X6" l="1"/>
  <c r="X4"/>
  <c r="E44"/>
  <c r="T72"/>
  <c r="C3" i="5"/>
  <c r="D3" s="1"/>
  <c r="Y72" i="1"/>
  <c r="C8" i="5"/>
  <c r="D8" s="1"/>
  <c r="N3" i="1"/>
  <c r="O3"/>
  <c r="U3" s="1"/>
  <c r="X3" l="1"/>
  <c r="Y3" s="1"/>
  <c r="Z3" s="1"/>
  <c r="Y4"/>
  <c r="Z4" s="1"/>
  <c r="Y6"/>
  <c r="Z6" s="1"/>
  <c r="X5"/>
  <c r="X8"/>
  <c r="V72"/>
  <c r="C5" i="5"/>
  <c r="D5" s="1"/>
  <c r="U72" i="1"/>
  <c r="C4" i="5"/>
  <c r="D4" s="1"/>
  <c r="U38" i="1" l="1"/>
  <c r="X38" s="1"/>
  <c r="Y38" s="1"/>
  <c r="Z38" s="1"/>
  <c r="Y8"/>
  <c r="Z8" s="1"/>
  <c r="Y5"/>
  <c r="Z5" s="1"/>
</calcChain>
</file>

<file path=xl/sharedStrings.xml><?xml version="1.0" encoding="utf-8"?>
<sst xmlns="http://schemas.openxmlformats.org/spreadsheetml/2006/main" count="217" uniqueCount="99">
  <si>
    <t>Site</t>
  </si>
  <si>
    <t>CGC</t>
  </si>
  <si>
    <t>RDC</t>
  </si>
  <si>
    <t>FDC</t>
  </si>
  <si>
    <t>VMAX</t>
  </si>
  <si>
    <t>Enabled Pool Devices</t>
  </si>
  <si>
    <t>Total GB</t>
  </si>
  <si>
    <t>Used GB</t>
  </si>
  <si>
    <t>% full</t>
  </si>
  <si>
    <t>Thin Devices</t>
  </si>
  <si>
    <t># Devices</t>
  </si>
  <si>
    <t>Virtual Capacity GB</t>
  </si>
  <si>
    <t>capacity threshold</t>
  </si>
  <si>
    <t># Allocated</t>
  </si>
  <si>
    <t>GB Allocated</t>
  </si>
  <si>
    <t>subscription</t>
  </si>
  <si>
    <t>Array</t>
  </si>
  <si>
    <t>USPV</t>
  </si>
  <si>
    <t>rdchds02</t>
  </si>
  <si>
    <t>fdchds02</t>
  </si>
  <si>
    <t>rdchds03</t>
  </si>
  <si>
    <t>fdchds03</t>
  </si>
  <si>
    <t>Tier 3</t>
  </si>
  <si>
    <t>Tier 4</t>
  </si>
  <si>
    <t>Tier</t>
  </si>
  <si>
    <t>Threshold capacity</t>
  </si>
  <si>
    <t># extra devices possible</t>
  </si>
  <si>
    <t>threshold available GB</t>
  </si>
  <si>
    <t>Subscription availability GB</t>
  </si>
  <si>
    <t>Available to allocate GB</t>
  </si>
  <si>
    <t>Tier 4 (2)</t>
  </si>
  <si>
    <t>Tier 4 (22)</t>
  </si>
  <si>
    <t>Available to allocate</t>
  </si>
  <si>
    <t>currently available for allocation</t>
  </si>
  <si>
    <t>GB</t>
  </si>
  <si>
    <t>used by</t>
  </si>
  <si>
    <t>avg monthly requirement</t>
  </si>
  <si>
    <t>RDCHDS04</t>
  </si>
  <si>
    <t>Tier 4 (20)</t>
  </si>
  <si>
    <t xml:space="preserve"> </t>
  </si>
  <si>
    <t>Nett Subscription</t>
  </si>
  <si>
    <t>Available to allocate with nett &lt; 225%</t>
  </si>
  <si>
    <t>CGC tier 3</t>
  </si>
  <si>
    <t>CGC tier 4</t>
  </si>
  <si>
    <t>RDC tier 3</t>
  </si>
  <si>
    <t>RDC tier 4</t>
  </si>
  <si>
    <t>FDC tier 3</t>
  </si>
  <si>
    <t>FDC tier 4</t>
  </si>
  <si>
    <t>Allocated GB</t>
  </si>
  <si>
    <t>average (monthly)</t>
  </si>
  <si>
    <t>avaliable</t>
  </si>
  <si>
    <t>shortfall for next twelve months</t>
  </si>
  <si>
    <t>0623</t>
  </si>
  <si>
    <t>0745</t>
  </si>
  <si>
    <t>0552</t>
  </si>
  <si>
    <t>0678</t>
  </si>
  <si>
    <t>3286</t>
  </si>
  <si>
    <t>3073</t>
  </si>
  <si>
    <t>2230</t>
  </si>
  <si>
    <t>0879</t>
  </si>
  <si>
    <t>3004</t>
  </si>
  <si>
    <t>2804</t>
  </si>
  <si>
    <t>2231</t>
  </si>
  <si>
    <t>Keep</t>
  </si>
  <si>
    <t>Lookup</t>
  </si>
  <si>
    <t>HDS</t>
  </si>
  <si>
    <t xml:space="preserve">Available </t>
  </si>
  <si>
    <t>tier 3</t>
  </si>
  <si>
    <t>tier 4</t>
  </si>
  <si>
    <t>CGC-RDC</t>
  </si>
  <si>
    <t>745/552</t>
  </si>
  <si>
    <t>Based on installed physical usable</t>
  </si>
  <si>
    <t>RDC to FDC</t>
  </si>
  <si>
    <t xml:space="preserve">FDC to RDC </t>
  </si>
  <si>
    <t>2230/2231</t>
  </si>
  <si>
    <t>oversubscription</t>
  </si>
  <si>
    <t>reserved</t>
  </si>
  <si>
    <t>DEOLH005N0365</t>
  </si>
  <si>
    <t>DEOLH004N7026</t>
  </si>
  <si>
    <t>GBOKH005N3518</t>
  </si>
  <si>
    <t>GBOKH006N5362</t>
  </si>
  <si>
    <t>Tier 4 (50)</t>
  </si>
  <si>
    <t>ZDC</t>
  </si>
  <si>
    <t>2262</t>
  </si>
  <si>
    <t>0377</t>
  </si>
  <si>
    <t>LUNs Available to allocate</t>
  </si>
  <si>
    <t>3696</t>
  </si>
  <si>
    <t>3875</t>
  </si>
  <si>
    <t>4330</t>
  </si>
  <si>
    <t>4652</t>
  </si>
  <si>
    <t>0347</t>
  </si>
  <si>
    <t>0349</t>
  </si>
  <si>
    <t>Physical</t>
  </si>
  <si>
    <t>Total Virtual</t>
  </si>
  <si>
    <t>Allocated</t>
  </si>
  <si>
    <t>Used</t>
  </si>
  <si>
    <t>Adjustment</t>
  </si>
  <si>
    <t>Adjusted Allocated</t>
  </si>
  <si>
    <t>Utilisation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</si>
</sst>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[$-409]d\-mmm\-yy;@"/>
    <numFmt numFmtId="166" formatCode="#,##0.0"/>
    <numFmt numFmtId="167" formatCode="[$-F800]dddd\,\ mmmm\ dd\,\ yyyy"/>
  </numFmts>
  <fonts count="37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2" tint="-0.49998474074526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</fills>
  <borders count="9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055">
    <xf numFmtId="0" fontId="0" fillId="0" borderId="0"/>
    <xf numFmtId="0" fontId="8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3" fillId="27" borderId="25" applyNumberFormat="0" applyAlignment="0" applyProtection="0"/>
    <xf numFmtId="0" fontId="13" fillId="27" borderId="25" applyNumberFormat="0" applyAlignment="0" applyProtection="0"/>
    <xf numFmtId="0" fontId="13" fillId="27" borderId="25" applyNumberFormat="0" applyAlignment="0" applyProtection="0"/>
    <xf numFmtId="0" fontId="13" fillId="27" borderId="25" applyNumberFormat="0" applyAlignment="0" applyProtection="0"/>
    <xf numFmtId="0" fontId="13" fillId="27" borderId="25" applyNumberFormat="0" applyAlignment="0" applyProtection="0"/>
    <xf numFmtId="0" fontId="13" fillId="27" borderId="25" applyNumberFormat="0" applyAlignment="0" applyProtection="0"/>
    <xf numFmtId="0" fontId="13" fillId="27" borderId="25" applyNumberFormat="0" applyAlignment="0" applyProtection="0"/>
    <xf numFmtId="0" fontId="13" fillId="27" borderId="25" applyNumberFormat="0" applyAlignment="0" applyProtection="0"/>
    <xf numFmtId="0" fontId="13" fillId="27" borderId="25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7" fillId="0" borderId="27" applyNumberFormat="0" applyFill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8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8" fillId="0" borderId="0"/>
    <xf numFmtId="0" fontId="9" fillId="0" borderId="0"/>
    <xf numFmtId="0" fontId="8" fillId="0" borderId="0"/>
    <xf numFmtId="0" fontId="8" fillId="0" borderId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2" fillId="26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19" fillId="13" borderId="24" applyNumberForma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9" fillId="29" borderId="30" applyNumberFormat="0" applyFon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2" fillId="26" borderId="31" applyNumberFormat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24" fillId="0" borderId="32" applyNumberFormat="0" applyFill="0" applyAlignment="0" applyProtection="0"/>
    <xf numFmtId="0" fontId="9" fillId="17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27" fillId="0" borderId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0" borderId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7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7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8" fillId="0" borderId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27" fillId="0" borderId="0"/>
    <xf numFmtId="0" fontId="8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8" fillId="0" borderId="0"/>
    <xf numFmtId="0" fontId="27" fillId="0" borderId="0"/>
    <xf numFmtId="0" fontId="5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5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5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4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8" fillId="0" borderId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8" fillId="0" borderId="0"/>
    <xf numFmtId="0" fontId="27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4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8" fillId="0" borderId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2" fillId="26" borderId="64" applyNumberFormat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24" fillId="0" borderId="65" applyNumberFormat="0" applyFill="0" applyAlignment="0" applyProtection="0"/>
    <xf numFmtId="0" fontId="8" fillId="0" borderId="0"/>
    <xf numFmtId="0" fontId="27" fillId="0" borderId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2" fillId="26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19" fillId="13" borderId="73" applyNumberFormat="0" applyAlignment="0" applyProtection="0"/>
    <xf numFmtId="0" fontId="8" fillId="0" borderId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9" fillId="29" borderId="74" applyNumberFormat="0" applyFon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8" fillId="0" borderId="0"/>
    <xf numFmtId="0" fontId="27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8" fillId="0" borderId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2" fillId="26" borderId="75" applyNumberFormat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24" fillId="0" borderId="76" applyNumberFormat="0" applyFill="0" applyAlignment="0" applyProtection="0"/>
    <xf numFmtId="0" fontId="8" fillId="0" borderId="0"/>
    <xf numFmtId="0" fontId="27" fillId="0" borderId="0"/>
    <xf numFmtId="0" fontId="3" fillId="0" borderId="0"/>
    <xf numFmtId="0" fontId="3" fillId="0" borderId="0"/>
    <xf numFmtId="0" fontId="28" fillId="0" borderId="0"/>
    <xf numFmtId="0" fontId="29" fillId="0" borderId="0"/>
    <xf numFmtId="0" fontId="28" fillId="0" borderId="0"/>
    <xf numFmtId="0" fontId="8" fillId="0" borderId="0"/>
    <xf numFmtId="0" fontId="30" fillId="0" borderId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2" fillId="26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19" fillId="13" borderId="77" applyNumberFormat="0" applyAlignment="0" applyProtection="0"/>
    <xf numFmtId="0" fontId="8" fillId="0" borderId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9" fillId="29" borderId="78" applyNumberFormat="0" applyFon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8" fillId="0" borderId="0"/>
    <xf numFmtId="0" fontId="27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8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8" fillId="0" borderId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8" fillId="0" borderId="0"/>
    <xf numFmtId="0" fontId="27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8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2" fillId="26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19" fillId="13" borderId="62" applyNumberFormat="0" applyAlignment="0" applyProtection="0"/>
    <xf numFmtId="0" fontId="8" fillId="0" borderId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9" fillId="29" borderId="63" applyNumberFormat="0" applyFon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2" fillId="26" borderId="79" applyNumberFormat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24" fillId="0" borderId="80" applyNumberFormat="0" applyFill="0" applyAlignment="0" applyProtection="0"/>
    <xf numFmtId="0" fontId="8" fillId="0" borderId="0"/>
    <xf numFmtId="0" fontId="27" fillId="0" borderId="0"/>
    <xf numFmtId="0" fontId="2" fillId="0" borderId="0"/>
    <xf numFmtId="0" fontId="2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27" fillId="0" borderId="0"/>
    <xf numFmtId="0" fontId="8" fillId="0" borderId="0"/>
    <xf numFmtId="0" fontId="27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7" fillId="0" borderId="0"/>
    <xf numFmtId="0" fontId="8" fillId="0" borderId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1" fillId="0" borderId="0"/>
    <xf numFmtId="0" fontId="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8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7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8" fillId="0" borderId="0"/>
    <xf numFmtId="0" fontId="27" fillId="0" borderId="0"/>
    <xf numFmtId="0" fontId="8" fillId="0" borderId="0"/>
    <xf numFmtId="0" fontId="27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7" fillId="0" borderId="0"/>
    <xf numFmtId="0" fontId="27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7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7" fillId="0" borderId="0"/>
    <xf numFmtId="0" fontId="8" fillId="0" borderId="0"/>
    <xf numFmtId="0" fontId="27" fillId="0" borderId="0"/>
    <xf numFmtId="0" fontId="1" fillId="0" borderId="0"/>
    <xf numFmtId="0" fontId="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" fillId="0" borderId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9" fillId="29" borderId="86" applyNumberFormat="0" applyFont="0" applyAlignment="0" applyProtection="0"/>
    <xf numFmtId="0" fontId="27" fillId="0" borderId="0"/>
    <xf numFmtId="0" fontId="8" fillId="0" borderId="0"/>
    <xf numFmtId="0" fontId="9" fillId="29" borderId="86" applyNumberFormat="0" applyFont="0" applyAlignment="0" applyProtection="0"/>
    <xf numFmtId="0" fontId="8" fillId="0" borderId="0"/>
    <xf numFmtId="0" fontId="9" fillId="29" borderId="86" applyNumberFormat="0" applyFon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8" fillId="0" borderId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8" fillId="0" borderId="0"/>
    <xf numFmtId="0" fontId="27" fillId="0" borderId="0"/>
    <xf numFmtId="0" fontId="9" fillId="29" borderId="86" applyNumberFormat="0" applyFont="0" applyAlignment="0" applyProtection="0"/>
    <xf numFmtId="0" fontId="27" fillId="0" borderId="0"/>
    <xf numFmtId="0" fontId="8" fillId="0" borderId="0"/>
    <xf numFmtId="0" fontId="9" fillId="29" borderId="86" applyNumberFormat="0" applyFont="0" applyAlignment="0" applyProtection="0"/>
    <xf numFmtId="0" fontId="8" fillId="0" borderId="0"/>
    <xf numFmtId="0" fontId="9" fillId="29" borderId="86" applyNumberFormat="0" applyFon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8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9" fillId="29" borderId="86" applyNumberFormat="0" applyFont="0" applyAlignment="0" applyProtection="0"/>
    <xf numFmtId="0" fontId="8" fillId="0" borderId="0"/>
    <xf numFmtId="0" fontId="9" fillId="29" borderId="86" applyNumberFormat="0" applyFon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8" fillId="0" borderId="0"/>
    <xf numFmtId="0" fontId="27" fillId="0" borderId="0"/>
    <xf numFmtId="0" fontId="27" fillId="0" borderId="0"/>
    <xf numFmtId="0" fontId="8" fillId="0" borderId="0"/>
    <xf numFmtId="0" fontId="9" fillId="29" borderId="86" applyNumberFormat="0" applyFont="0" applyAlignment="0" applyProtection="0"/>
    <xf numFmtId="0" fontId="8" fillId="0" borderId="0"/>
    <xf numFmtId="0" fontId="9" fillId="29" borderId="86" applyNumberFormat="0" applyFon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1" fillId="0" borderId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19" fillId="13" borderId="85" applyNumberFormat="0" applyAlignment="0" applyProtection="0"/>
    <xf numFmtId="0" fontId="8" fillId="0" borderId="0"/>
    <xf numFmtId="0" fontId="8" fillId="0" borderId="0"/>
    <xf numFmtId="0" fontId="27" fillId="0" borderId="0"/>
    <xf numFmtId="0" fontId="27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7" fillId="0" borderId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4" fillId="0" borderId="88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4" fillId="0" borderId="88" applyNumberFormat="0" applyFill="0" applyAlignment="0" applyProtection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8" fillId="0" borderId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4" fillId="0" borderId="88" applyNumberFormat="0" applyFill="0" applyAlignment="0" applyProtection="0"/>
    <xf numFmtId="0" fontId="2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7" fillId="0" borderId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4" fillId="0" borderId="88" applyNumberFormat="0" applyFill="0" applyAlignment="0" applyProtection="0"/>
    <xf numFmtId="0" fontId="1" fillId="0" borderId="0"/>
    <xf numFmtId="0" fontId="8" fillId="0" borderId="0"/>
    <xf numFmtId="0" fontId="27" fillId="0" borderId="0"/>
    <xf numFmtId="0" fontId="8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8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7" fillId="0" borderId="0"/>
    <xf numFmtId="0" fontId="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1" fillId="0" borderId="0"/>
    <xf numFmtId="0" fontId="8" fillId="0" borderId="0"/>
    <xf numFmtId="0" fontId="27" fillId="0" borderId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9" fillId="13" borderId="85" applyNumberFormat="0" applyAlignment="0" applyProtection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24" fillId="0" borderId="88" applyNumberFormat="0" applyFill="0" applyAlignment="0" applyProtection="0"/>
    <xf numFmtId="0" fontId="1" fillId="0" borderId="0"/>
    <xf numFmtId="0" fontId="8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7" fillId="0" borderId="0"/>
    <xf numFmtId="0" fontId="19" fillId="13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27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4" fillId="0" borderId="88" applyNumberFormat="0" applyFill="0" applyAlignment="0" applyProtection="0"/>
    <xf numFmtId="0" fontId="8" fillId="0" borderId="0"/>
    <xf numFmtId="0" fontId="27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4" fillId="0" borderId="88" applyNumberFormat="0" applyFill="0" applyAlignment="0" applyProtection="0"/>
    <xf numFmtId="0" fontId="8" fillId="0" borderId="0"/>
    <xf numFmtId="0" fontId="27" fillId="0" borderId="0"/>
    <xf numFmtId="0" fontId="27" fillId="0" borderId="0"/>
    <xf numFmtId="0" fontId="8" fillId="0" borderId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8" fillId="0" borderId="0"/>
    <xf numFmtId="0" fontId="8" fillId="0" borderId="0"/>
    <xf numFmtId="0" fontId="12" fillId="26" borderId="85" applyNumberFormat="0" applyAlignment="0" applyProtection="0"/>
    <xf numFmtId="0" fontId="12" fillId="26" borderId="85" applyNumberFormat="0" applyAlignment="0" applyProtection="0"/>
    <xf numFmtId="0" fontId="24" fillId="0" borderId="88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24" fillId="0" borderId="88" applyNumberFormat="0" applyFill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22" fillId="26" borderId="87" applyNumberFormat="0" applyAlignment="0" applyProtection="0"/>
    <xf numFmtId="0" fontId="9" fillId="29" borderId="86" applyNumberFormat="0" applyFont="0" applyAlignment="0" applyProtection="0"/>
    <xf numFmtId="0" fontId="9" fillId="29" borderId="86" applyNumberFormat="0" applyFont="0" applyAlignment="0" applyProtection="0"/>
    <xf numFmtId="0" fontId="12" fillId="26" borderId="85" applyNumberFormat="0" applyAlignment="0" applyProtection="0"/>
    <xf numFmtId="0" fontId="12" fillId="26" borderId="85" applyNumberFormat="0" applyAlignment="0" applyProtection="0"/>
  </cellStyleXfs>
  <cellXfs count="379">
    <xf numFmtId="0" fontId="0" fillId="0" borderId="0" xfId="0"/>
    <xf numFmtId="0" fontId="0" fillId="5" borderId="12" xfId="0" applyFill="1" applyBorder="1" applyAlignment="1">
      <alignment horizontal="center" vertical="center" wrapText="1"/>
    </xf>
    <xf numFmtId="10" fontId="0" fillId="5" borderId="13" xfId="0" applyNumberForma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0" fontId="0" fillId="4" borderId="4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0" fontId="0" fillId="4" borderId="10" xfId="0" applyNumberFormat="1" applyFill="1" applyBorder="1" applyAlignment="1">
      <alignment horizontal="center" vertical="center"/>
    </xf>
    <xf numFmtId="10" fontId="0" fillId="6" borderId="10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10" fontId="0" fillId="4" borderId="13" xfId="0" applyNumberForma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" fontId="0" fillId="4" borderId="18" xfId="0" applyNumberFormat="1" applyFill="1" applyBorder="1" applyAlignment="1">
      <alignment horizontal="center" vertical="center"/>
    </xf>
    <xf numFmtId="1" fontId="0" fillId="4" borderId="20" xfId="0" applyNumberFormat="1" applyFill="1" applyBorder="1" applyAlignment="1">
      <alignment horizontal="center" vertical="center"/>
    </xf>
    <xf numFmtId="1" fontId="0" fillId="4" borderId="19" xfId="0" applyNumberForma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6" fillId="7" borderId="38" xfId="0" applyFont="1" applyFill="1" applyBorder="1" applyAlignment="1">
      <alignment horizontal="center" vertical="center"/>
    </xf>
    <xf numFmtId="0" fontId="26" fillId="7" borderId="39" xfId="0" applyFont="1" applyFill="1" applyBorder="1" applyAlignment="1">
      <alignment horizontal="center" vertical="center"/>
    </xf>
    <xf numFmtId="0" fontId="26" fillId="7" borderId="40" xfId="0" applyFont="1" applyFill="1" applyBorder="1" applyAlignment="1">
      <alignment horizontal="center" vertical="center"/>
    </xf>
    <xf numFmtId="1" fontId="0" fillId="30" borderId="41" xfId="0" applyNumberFormat="1" applyFill="1" applyBorder="1" applyAlignment="1">
      <alignment horizontal="center" vertical="center"/>
    </xf>
    <xf numFmtId="1" fontId="0" fillId="30" borderId="42" xfId="0" applyNumberFormat="1" applyFill="1" applyBorder="1" applyAlignment="1">
      <alignment horizontal="center" vertical="center"/>
    </xf>
    <xf numFmtId="1" fontId="0" fillId="30" borderId="20" xfId="0" applyNumberFormat="1" applyFill="1" applyBorder="1" applyAlignment="1">
      <alignment horizontal="center" vertical="center"/>
    </xf>
    <xf numFmtId="1" fontId="0" fillId="30" borderId="10" xfId="0" applyNumberFormat="1" applyFill="1" applyBorder="1" applyAlignment="1">
      <alignment horizontal="center" vertical="center"/>
    </xf>
    <xf numFmtId="10" fontId="0" fillId="30" borderId="19" xfId="0" applyNumberFormat="1" applyFill="1" applyBorder="1" applyAlignment="1">
      <alignment horizontal="center" vertical="center"/>
    </xf>
    <xf numFmtId="10" fontId="0" fillId="30" borderId="13" xfId="0" applyNumberFormat="1" applyFill="1" applyBorder="1" applyAlignment="1">
      <alignment horizontal="center" vertical="center"/>
    </xf>
    <xf numFmtId="1" fontId="0" fillId="31" borderId="0" xfId="0" applyNumberFormat="1" applyFill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0" fillId="0" borderId="49" xfId="0" applyBorder="1"/>
    <xf numFmtId="0" fontId="0" fillId="0" borderId="0" xfId="0" applyAlignment="1">
      <alignment horizontal="center" vertical="center"/>
    </xf>
    <xf numFmtId="1" fontId="0" fillId="32" borderId="9" xfId="0" applyNumberFormat="1" applyFill="1" applyBorder="1" applyAlignment="1">
      <alignment horizontal="center" vertical="center"/>
    </xf>
    <xf numFmtId="1" fontId="0" fillId="5" borderId="20" xfId="0" applyNumberFormat="1" applyFill="1" applyBorder="1" applyAlignment="1">
      <alignment horizontal="center" vertical="center"/>
    </xf>
    <xf numFmtId="165" fontId="0" fillId="32" borderId="9" xfId="0" applyNumberFormat="1" applyFill="1" applyBorder="1" applyAlignment="1">
      <alignment horizontal="center" vertical="center"/>
    </xf>
    <xf numFmtId="1" fontId="0" fillId="32" borderId="37" xfId="0" applyNumberFormat="1" applyFill="1" applyBorder="1" applyAlignment="1">
      <alignment horizontal="center" vertical="center"/>
    </xf>
    <xf numFmtId="1" fontId="0" fillId="32" borderId="10" xfId="0" applyNumberFormat="1" applyFill="1" applyBorder="1" applyAlignment="1">
      <alignment horizontal="center" vertical="center"/>
    </xf>
    <xf numFmtId="1" fontId="0" fillId="5" borderId="11" xfId="0" applyNumberFormat="1" applyFill="1" applyBorder="1" applyAlignment="1">
      <alignment horizontal="center" vertical="center"/>
    </xf>
    <xf numFmtId="1" fontId="0" fillId="32" borderId="21" xfId="0" applyNumberFormat="1" applyFill="1" applyBorder="1" applyAlignment="1">
      <alignment horizontal="center" vertical="center"/>
    </xf>
    <xf numFmtId="1" fontId="0" fillId="0" borderId="49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5" borderId="40" xfId="0" applyNumberFormat="1" applyFill="1" applyBorder="1" applyAlignment="1">
      <alignment horizontal="center" vertical="center" wrapText="1"/>
    </xf>
    <xf numFmtId="1" fontId="0" fillId="4" borderId="48" xfId="0" applyNumberFormat="1" applyFill="1" applyBorder="1" applyAlignment="1">
      <alignment horizontal="center" vertical="center"/>
    </xf>
    <xf numFmtId="1" fontId="0" fillId="5" borderId="38" xfId="0" applyNumberFormat="1" applyFill="1" applyBorder="1" applyAlignment="1">
      <alignment horizontal="center" vertical="center"/>
    </xf>
    <xf numFmtId="1" fontId="0" fillId="4" borderId="40" xfId="0" applyNumberForma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/>
    <xf numFmtId="0" fontId="0" fillId="2" borderId="9" xfId="0" applyFill="1" applyBorder="1"/>
    <xf numFmtId="10" fontId="0" fillId="2" borderId="12" xfId="0" applyNumberFormat="1" applyFill="1" applyBorder="1"/>
    <xf numFmtId="0" fontId="0" fillId="2" borderId="44" xfId="0" applyFill="1" applyBorder="1"/>
    <xf numFmtId="0" fontId="0" fillId="2" borderId="11" xfId="0" applyFill="1" applyBorder="1" applyAlignment="1">
      <alignment horizontal="center" vertical="center" wrapText="1"/>
    </xf>
    <xf numFmtId="165" fontId="0" fillId="32" borderId="9" xfId="0" applyNumberFormat="1" applyFill="1" applyBorder="1" applyAlignment="1">
      <alignment horizontal="center" vertical="center"/>
    </xf>
    <xf numFmtId="1" fontId="0" fillId="4" borderId="39" xfId="0" applyNumberForma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1" fontId="0" fillId="0" borderId="0" xfId="0" applyNumberFormat="1"/>
    <xf numFmtId="10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0" fillId="4" borderId="38" xfId="0" applyFill="1" applyBorder="1" applyAlignment="1">
      <alignment horizontal="center"/>
    </xf>
    <xf numFmtId="0" fontId="0" fillId="4" borderId="35" xfId="0" applyFill="1" applyBorder="1" applyAlignment="1">
      <alignment horizontal="center" vertical="center"/>
    </xf>
    <xf numFmtId="1" fontId="0" fillId="32" borderId="14" xfId="0" applyNumberFormat="1" applyFill="1" applyBorder="1" applyAlignment="1">
      <alignment horizontal="center" vertical="center"/>
    </xf>
    <xf numFmtId="165" fontId="0" fillId="32" borderId="14" xfId="0" applyNumberFormat="1" applyFill="1" applyBorder="1" applyAlignment="1">
      <alignment horizontal="center" vertical="center"/>
    </xf>
    <xf numFmtId="1" fontId="0" fillId="30" borderId="54" xfId="0" applyNumberFormat="1" applyFill="1" applyBorder="1" applyAlignment="1">
      <alignment horizontal="center" vertical="center"/>
    </xf>
    <xf numFmtId="1" fontId="0" fillId="30" borderId="14" xfId="0" applyNumberFormat="1" applyFill="1" applyBorder="1" applyAlignment="1">
      <alignment horizontal="center" vertical="center"/>
    </xf>
    <xf numFmtId="10" fontId="0" fillId="30" borderId="35" xfId="0" applyNumberForma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1" fontId="0" fillId="4" borderId="53" xfId="0" applyNumberFormat="1" applyFill="1" applyBorder="1" applyAlignment="1">
      <alignment horizontal="center" vertical="center"/>
    </xf>
    <xf numFmtId="1" fontId="0" fillId="4" borderId="43" xfId="0" applyNumberFormat="1" applyFill="1" applyBorder="1" applyAlignment="1">
      <alignment horizontal="center" vertical="center"/>
    </xf>
    <xf numFmtId="1" fontId="0" fillId="4" borderId="38" xfId="0" applyNumberFormat="1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9" fontId="0" fillId="4" borderId="48" xfId="0" applyNumberFormat="1" applyFill="1" applyBorder="1" applyAlignment="1">
      <alignment horizontal="center" vertical="center"/>
    </xf>
    <xf numFmtId="9" fontId="0" fillId="4" borderId="4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4" borderId="38" xfId="0" applyFill="1" applyBorder="1"/>
    <xf numFmtId="0" fontId="0" fillId="34" borderId="39" xfId="0" applyFill="1" applyBorder="1"/>
    <xf numFmtId="0" fontId="0" fillId="34" borderId="40" xfId="0" applyFill="1" applyBorder="1"/>
    <xf numFmtId="0" fontId="0" fillId="34" borderId="51" xfId="0" applyFill="1" applyBorder="1"/>
    <xf numFmtId="0" fontId="0" fillId="34" borderId="59" xfId="0" applyFill="1" applyBorder="1"/>
    <xf numFmtId="0" fontId="0" fillId="34" borderId="19" xfId="0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1" fontId="0" fillId="33" borderId="41" xfId="0" applyNumberFormat="1" applyFill="1" applyBorder="1" applyAlignment="1">
      <alignment horizontal="center"/>
    </xf>
    <xf numFmtId="1" fontId="0" fillId="33" borderId="52" xfId="0" applyNumberFormat="1" applyFill="1" applyBorder="1" applyAlignment="1">
      <alignment horizontal="center"/>
    </xf>
    <xf numFmtId="1" fontId="0" fillId="33" borderId="42" xfId="0" applyNumberFormat="1" applyFill="1" applyBorder="1" applyAlignment="1">
      <alignment horizontal="center"/>
    </xf>
    <xf numFmtId="1" fontId="0" fillId="33" borderId="20" xfId="0" applyNumberFormat="1" applyFill="1" applyBorder="1" applyAlignment="1">
      <alignment horizontal="center"/>
    </xf>
    <xf numFmtId="1" fontId="0" fillId="33" borderId="9" xfId="0" applyNumberFormat="1" applyFill="1" applyBorder="1" applyAlignment="1">
      <alignment horizontal="center"/>
    </xf>
    <xf numFmtId="1" fontId="0" fillId="33" borderId="10" xfId="0" applyNumberFormat="1" applyFill="1" applyBorder="1" applyAlignment="1">
      <alignment horizontal="center"/>
    </xf>
    <xf numFmtId="1" fontId="0" fillId="33" borderId="19" xfId="0" applyNumberFormat="1" applyFill="1" applyBorder="1" applyAlignment="1">
      <alignment horizontal="center"/>
    </xf>
    <xf numFmtId="1" fontId="0" fillId="33" borderId="12" xfId="0" applyNumberFormat="1" applyFill="1" applyBorder="1" applyAlignment="1">
      <alignment horizontal="center"/>
    </xf>
    <xf numFmtId="1" fontId="0" fillId="33" borderId="13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3" borderId="45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4" borderId="72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1" fontId="0" fillId="4" borderId="69" xfId="0" applyNumberFormat="1" applyFill="1" applyBorder="1" applyAlignment="1">
      <alignment horizontal="center" vertical="center"/>
    </xf>
    <xf numFmtId="0" fontId="0" fillId="4" borderId="69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1" fontId="0" fillId="0" borderId="0" xfId="0" applyNumberFormat="1" applyFill="1" applyBorder="1" applyAlignment="1">
      <alignment horizontal="center" vertical="center"/>
    </xf>
    <xf numFmtId="0" fontId="0" fillId="2" borderId="34" xfId="0" applyFill="1" applyBorder="1"/>
    <xf numFmtId="0" fontId="0" fillId="2" borderId="14" xfId="0" applyFill="1" applyBorder="1"/>
    <xf numFmtId="0" fontId="31" fillId="0" borderId="0" xfId="0" applyFont="1" applyAlignment="1">
      <alignment horizontal="center" vertical="center"/>
    </xf>
    <xf numFmtId="0" fontId="32" fillId="0" borderId="60" xfId="0" applyFont="1" applyBorder="1" applyAlignment="1">
      <alignment horizontal="center" vertical="center"/>
    </xf>
    <xf numFmtId="0" fontId="32" fillId="0" borderId="56" xfId="0" applyFont="1" applyBorder="1" applyAlignment="1">
      <alignment horizontal="center" vertical="center"/>
    </xf>
    <xf numFmtId="0" fontId="32" fillId="0" borderId="55" xfId="0" applyFont="1" applyBorder="1" applyAlignment="1">
      <alignment horizontal="center" vertical="center"/>
    </xf>
    <xf numFmtId="1" fontId="32" fillId="0" borderId="82" xfId="0" applyNumberFormat="1" applyFont="1" applyBorder="1" applyAlignment="1">
      <alignment horizontal="center" vertical="center"/>
    </xf>
    <xf numFmtId="0" fontId="32" fillId="0" borderId="72" xfId="0" applyFont="1" applyBorder="1" applyAlignment="1">
      <alignment horizontal="center" vertical="center"/>
    </xf>
    <xf numFmtId="0" fontId="32" fillId="0" borderId="82" xfId="0" applyFont="1" applyBorder="1" applyAlignment="1">
      <alignment horizontal="center" vertical="center"/>
    </xf>
    <xf numFmtId="0" fontId="32" fillId="0" borderId="81" xfId="0" applyFont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1" fontId="35" fillId="3" borderId="3" xfId="0" applyNumberFormat="1" applyFont="1" applyFill="1" applyBorder="1" applyAlignment="1">
      <alignment horizontal="center" vertical="center"/>
    </xf>
    <xf numFmtId="164" fontId="34" fillId="3" borderId="9" xfId="0" applyNumberFormat="1" applyFont="1" applyFill="1" applyBorder="1" applyAlignment="1">
      <alignment horizontal="center" vertical="center"/>
    </xf>
    <xf numFmtId="10" fontId="31" fillId="3" borderId="12" xfId="0" applyNumberFormat="1" applyFont="1" applyFill="1" applyBorder="1" applyAlignment="1">
      <alignment horizontal="center" vertical="center"/>
    </xf>
    <xf numFmtId="1" fontId="31" fillId="3" borderId="9" xfId="0" applyNumberFormat="1" applyFont="1" applyFill="1" applyBorder="1" applyAlignment="1">
      <alignment horizontal="center" vertical="center"/>
    </xf>
    <xf numFmtId="0" fontId="33" fillId="2" borderId="14" xfId="0" applyFont="1" applyFill="1" applyBorder="1"/>
    <xf numFmtId="0" fontId="34" fillId="3" borderId="9" xfId="0" applyFont="1" applyFill="1" applyBorder="1" applyAlignment="1">
      <alignment horizontal="center" vertical="center"/>
    </xf>
    <xf numFmtId="10" fontId="31" fillId="4" borderId="12" xfId="0" applyNumberFormat="1" applyFont="1" applyFill="1" applyBorder="1" applyAlignment="1">
      <alignment horizontal="center" vertical="center"/>
    </xf>
    <xf numFmtId="1" fontId="31" fillId="3" borderId="46" xfId="0" applyNumberFormat="1" applyFont="1" applyFill="1" applyBorder="1" applyAlignment="1">
      <alignment horizontal="center" vertical="center"/>
    </xf>
    <xf numFmtId="165" fontId="0" fillId="32" borderId="13" xfId="0" applyNumberFormat="1" applyFill="1" applyBorder="1" applyAlignment="1">
      <alignment horizontal="center" vertical="center"/>
    </xf>
    <xf numFmtId="165" fontId="0" fillId="32" borderId="12" xfId="0" applyNumberFormat="1" applyFill="1" applyBorder="1" applyAlignment="1">
      <alignment horizontal="center" vertical="center"/>
    </xf>
    <xf numFmtId="1" fontId="0" fillId="5" borderId="42" xfId="0" applyNumberFormat="1" applyFill="1" applyBorder="1" applyAlignment="1">
      <alignment horizontal="center" vertical="center"/>
    </xf>
    <xf numFmtId="1" fontId="0" fillId="5" borderId="52" xfId="0" applyNumberFormat="1" applyFill="1" applyBorder="1" applyAlignment="1">
      <alignment horizontal="center" vertical="center"/>
    </xf>
    <xf numFmtId="1" fontId="0" fillId="5" borderId="41" xfId="0" applyNumberFormat="1" applyFill="1" applyBorder="1" applyAlignment="1">
      <alignment horizontal="left" vertical="center"/>
    </xf>
    <xf numFmtId="9" fontId="0" fillId="0" borderId="0" xfId="0" applyNumberFormat="1" applyAlignment="1">
      <alignment horizontal="center" vertical="center"/>
    </xf>
    <xf numFmtId="1" fontId="0" fillId="5" borderId="19" xfId="0" applyNumberForma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10" fontId="0" fillId="3" borderId="12" xfId="0" applyNumberFormat="1" applyFill="1" applyBorder="1" applyAlignment="1">
      <alignment horizontal="center" vertical="center"/>
    </xf>
    <xf numFmtId="10" fontId="0" fillId="3" borderId="13" xfId="0" applyNumberFormat="1" applyFill="1" applyBorder="1" applyAlignment="1">
      <alignment horizontal="center" vertical="center"/>
    </xf>
    <xf numFmtId="10" fontId="0" fillId="4" borderId="12" xfId="0" applyNumberFormat="1" applyFill="1" applyBorder="1" applyAlignment="1">
      <alignment horizontal="center" vertical="center"/>
    </xf>
    <xf numFmtId="10" fontId="0" fillId="4" borderId="13" xfId="0" applyNumberFormat="1" applyFill="1" applyBorder="1" applyAlignment="1">
      <alignment horizontal="center" vertical="center"/>
    </xf>
    <xf numFmtId="10" fontId="0" fillId="3" borderId="84" xfId="0" applyNumberFormat="1" applyFill="1" applyBorder="1" applyAlignment="1">
      <alignment horizontal="center" vertical="center"/>
    </xf>
    <xf numFmtId="10" fontId="0" fillId="4" borderId="84" xfId="0" applyNumberFormat="1" applyFill="1" applyBorder="1" applyAlignment="1">
      <alignment horizontal="center" vertical="center"/>
    </xf>
    <xf numFmtId="10" fontId="0" fillId="4" borderId="3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0" fontId="0" fillId="3" borderId="40" xfId="0" applyNumberFormat="1" applyFill="1" applyBorder="1" applyAlignment="1">
      <alignment horizontal="center" vertical="center"/>
    </xf>
    <xf numFmtId="1" fontId="0" fillId="0" borderId="39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2" xfId="0" applyBorder="1" applyAlignment="1">
      <alignment horizontal="center"/>
    </xf>
    <xf numFmtId="3" fontId="0" fillId="4" borderId="9" xfId="0" applyNumberFormat="1" applyFill="1" applyBorder="1" applyAlignment="1">
      <alignment horizontal="center"/>
    </xf>
    <xf numFmtId="166" fontId="0" fillId="4" borderId="9" xfId="0" applyNumberFormat="1" applyFill="1" applyBorder="1" applyAlignment="1">
      <alignment horizontal="center"/>
    </xf>
    <xf numFmtId="3" fontId="0" fillId="4" borderId="52" xfId="0" applyNumberFormat="1" applyFill="1" applyBorder="1" applyAlignment="1">
      <alignment horizontal="center"/>
    </xf>
    <xf numFmtId="3" fontId="0" fillId="4" borderId="20" xfId="0" applyNumberFormat="1" applyFill="1" applyBorder="1" applyAlignment="1">
      <alignment horizontal="center"/>
    </xf>
    <xf numFmtId="3" fontId="0" fillId="4" borderId="10" xfId="0" applyNumberFormat="1" applyFill="1" applyBorder="1" applyAlignment="1">
      <alignment horizontal="center"/>
    </xf>
    <xf numFmtId="10" fontId="0" fillId="3" borderId="19" xfId="0" applyNumberFormat="1" applyFill="1" applyBorder="1" applyAlignment="1">
      <alignment horizontal="center" vertical="center"/>
    </xf>
    <xf numFmtId="3" fontId="0" fillId="4" borderId="54" xfId="0" applyNumberFormat="1" applyFill="1" applyBorder="1" applyAlignment="1">
      <alignment horizontal="center"/>
    </xf>
    <xf numFmtId="166" fontId="0" fillId="4" borderId="14" xfId="0" applyNumberFormat="1" applyFill="1" applyBorder="1" applyAlignment="1">
      <alignment horizontal="center"/>
    </xf>
    <xf numFmtId="10" fontId="0" fillId="4" borderId="83" xfId="0" applyNumberFormat="1" applyFill="1" applyBorder="1" applyAlignment="1">
      <alignment horizontal="center" vertical="center"/>
    </xf>
    <xf numFmtId="3" fontId="0" fillId="4" borderId="14" xfId="0" applyNumberFormat="1" applyFill="1" applyBorder="1" applyAlignment="1">
      <alignment horizontal="center"/>
    </xf>
    <xf numFmtId="10" fontId="0" fillId="3" borderId="35" xfId="0" applyNumberForma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3" fontId="0" fillId="4" borderId="57" xfId="0" applyNumberFormat="1" applyFill="1" applyBorder="1" applyAlignment="1">
      <alignment horizontal="center"/>
    </xf>
    <xf numFmtId="166" fontId="0" fillId="4" borderId="15" xfId="0" applyNumberFormat="1" applyFill="1" applyBorder="1" applyAlignment="1">
      <alignment horizontal="center"/>
    </xf>
    <xf numFmtId="10" fontId="0" fillId="4" borderId="58" xfId="0" applyNumberFormat="1" applyFill="1" applyBorder="1" applyAlignment="1">
      <alignment horizontal="center" vertical="center"/>
    </xf>
    <xf numFmtId="3" fontId="0" fillId="4" borderId="15" xfId="0" applyNumberFormat="1" applyFill="1" applyBorder="1" applyAlignment="1">
      <alignment horizontal="center"/>
    </xf>
    <xf numFmtId="10" fontId="0" fillId="3" borderId="6" xfId="0" applyNumberFormat="1" applyFill="1" applyBorder="1" applyAlignment="1">
      <alignment horizontal="center" vertical="center"/>
    </xf>
    <xf numFmtId="0" fontId="0" fillId="0" borderId="57" xfId="0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3" fontId="0" fillId="4" borderId="41" xfId="0" applyNumberFormat="1" applyFill="1" applyBorder="1" applyAlignment="1">
      <alignment horizontal="center"/>
    </xf>
    <xf numFmtId="3" fontId="0" fillId="4" borderId="42" xfId="0" applyNumberFormat="1" applyFill="1" applyBorder="1" applyAlignment="1">
      <alignment horizontal="center"/>
    </xf>
    <xf numFmtId="166" fontId="0" fillId="4" borderId="20" xfId="0" applyNumberFormat="1" applyFill="1" applyBorder="1" applyAlignment="1">
      <alignment horizontal="center"/>
    </xf>
    <xf numFmtId="166" fontId="0" fillId="4" borderId="10" xfId="0" applyNumberFormat="1" applyFill="1" applyBorder="1" applyAlignment="1">
      <alignment horizontal="center"/>
    </xf>
    <xf numFmtId="10" fontId="0" fillId="4" borderId="53" xfId="0" applyNumberFormat="1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3" fontId="0" fillId="4" borderId="48" xfId="0" applyNumberFormat="1" applyFill="1" applyBorder="1" applyAlignment="1">
      <alignment horizontal="center"/>
    </xf>
    <xf numFmtId="166" fontId="0" fillId="4" borderId="39" xfId="0" applyNumberFormat="1" applyFill="1" applyBorder="1" applyAlignment="1">
      <alignment horizontal="center"/>
    </xf>
    <xf numFmtId="10" fontId="0" fillId="4" borderId="43" xfId="0" applyNumberFormat="1" applyFill="1" applyBorder="1" applyAlignment="1">
      <alignment horizontal="center" vertical="center"/>
    </xf>
    <xf numFmtId="3" fontId="0" fillId="4" borderId="39" xfId="0" applyNumberFormat="1" applyFill="1" applyBorder="1" applyAlignment="1">
      <alignment horizontal="center"/>
    </xf>
    <xf numFmtId="3" fontId="0" fillId="4" borderId="18" xfId="0" applyNumberForma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3" fontId="0" fillId="4" borderId="4" xfId="0" applyNumberFormat="1" applyFill="1" applyBorder="1" applyAlignment="1">
      <alignment horizontal="center"/>
    </xf>
    <xf numFmtId="10" fontId="0" fillId="4" borderId="19" xfId="0" applyNumberFormat="1" applyFill="1" applyBorder="1" applyAlignment="1">
      <alignment horizontal="center" vertical="center"/>
    </xf>
    <xf numFmtId="10" fontId="0" fillId="3" borderId="53" xfId="0" applyNumberFormat="1" applyFill="1" applyBorder="1" applyAlignment="1">
      <alignment horizontal="center" vertical="center"/>
    </xf>
    <xf numFmtId="10" fontId="0" fillId="3" borderId="33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3" fontId="0" fillId="4" borderId="20" xfId="0" applyNumberFormat="1" applyFill="1" applyBorder="1" applyAlignment="1">
      <alignment horizontal="center" vertical="center"/>
    </xf>
    <xf numFmtId="3" fontId="0" fillId="4" borderId="9" xfId="0" applyNumberFormat="1" applyFill="1" applyBorder="1" applyAlignment="1">
      <alignment horizontal="center" vertical="center"/>
    </xf>
    <xf numFmtId="3" fontId="0" fillId="4" borderId="10" xfId="0" applyNumberFormat="1" applyFill="1" applyBorder="1" applyAlignment="1">
      <alignment horizontal="center" vertical="center"/>
    </xf>
    <xf numFmtId="3" fontId="0" fillId="4" borderId="15" xfId="0" applyNumberFormat="1" applyFill="1" applyBorder="1" applyAlignment="1">
      <alignment horizontal="center" vertical="center"/>
    </xf>
    <xf numFmtId="3" fontId="0" fillId="4" borderId="14" xfId="0" applyNumberFormat="1" applyFill="1" applyBorder="1" applyAlignment="1">
      <alignment horizontal="center" vertical="center"/>
    </xf>
    <xf numFmtId="3" fontId="0" fillId="4" borderId="18" xfId="0" applyNumberFormat="1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0" fillId="4" borderId="34" xfId="0" applyNumberFormat="1" applyFill="1" applyBorder="1" applyAlignment="1">
      <alignment horizontal="center" vertical="center"/>
    </xf>
    <xf numFmtId="3" fontId="0" fillId="4" borderId="38" xfId="0" applyNumberFormat="1" applyFill="1" applyBorder="1" applyAlignment="1">
      <alignment horizontal="center"/>
    </xf>
    <xf numFmtId="3" fontId="0" fillId="4" borderId="39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7" fillId="4" borderId="19" xfId="0" applyFont="1" applyFill="1" applyBorder="1"/>
    <xf numFmtId="0" fontId="7" fillId="4" borderId="89" xfId="0" applyFont="1" applyFill="1" applyBorder="1"/>
    <xf numFmtId="0" fontId="7" fillId="4" borderId="13" xfId="0" applyFont="1" applyFill="1" applyBorder="1"/>
    <xf numFmtId="0" fontId="0" fillId="4" borderId="66" xfId="0" applyFill="1" applyBorder="1" applyAlignment="1">
      <alignment horizontal="center" vertical="center"/>
    </xf>
    <xf numFmtId="0" fontId="0" fillId="4" borderId="6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" fontId="0" fillId="4" borderId="66" xfId="0" applyNumberFormat="1" applyFill="1" applyBorder="1" applyAlignment="1">
      <alignment horizontal="center" vertical="center"/>
    </xf>
    <xf numFmtId="9" fontId="0" fillId="4" borderId="43" xfId="0" applyNumberFormat="1" applyFill="1" applyBorder="1" applyAlignment="1">
      <alignment horizontal="center" vertical="center"/>
    </xf>
    <xf numFmtId="9" fontId="0" fillId="4" borderId="39" xfId="0" applyNumberFormat="1" applyFill="1" applyBorder="1" applyAlignment="1">
      <alignment horizontal="center" vertical="center"/>
    </xf>
    <xf numFmtId="9" fontId="0" fillId="4" borderId="38" xfId="0" applyNumberFormat="1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3" borderId="34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/>
    </xf>
    <xf numFmtId="0" fontId="34" fillId="3" borderId="12" xfId="0" quotePrefix="1" applyFont="1" applyFill="1" applyBorder="1" applyAlignment="1">
      <alignment horizontal="center" vertical="center"/>
    </xf>
    <xf numFmtId="0" fontId="34" fillId="3" borderId="13" xfId="0" quotePrefix="1" applyFont="1" applyFill="1" applyBorder="1" applyAlignment="1">
      <alignment horizontal="center" vertical="center"/>
    </xf>
    <xf numFmtId="1" fontId="35" fillId="3" borderId="4" xfId="0" applyNumberFormat="1" applyFont="1" applyFill="1" applyBorder="1" applyAlignment="1">
      <alignment horizontal="center" vertical="center"/>
    </xf>
    <xf numFmtId="164" fontId="34" fillId="3" borderId="10" xfId="0" applyNumberFormat="1" applyFont="1" applyFill="1" applyBorder="1" applyAlignment="1">
      <alignment horizontal="center" vertical="center"/>
    </xf>
    <xf numFmtId="10" fontId="31" fillId="3" borderId="35" xfId="0" applyNumberFormat="1" applyFont="1" applyFill="1" applyBorder="1" applyAlignment="1">
      <alignment horizontal="center" vertical="center"/>
    </xf>
    <xf numFmtId="10" fontId="31" fillId="3" borderId="13" xfId="0" applyNumberFormat="1" applyFont="1" applyFill="1" applyBorder="1" applyAlignment="1">
      <alignment horizontal="center" vertical="center"/>
    </xf>
    <xf numFmtId="1" fontId="31" fillId="3" borderId="10" xfId="0" applyNumberFormat="1" applyFont="1" applyFill="1" applyBorder="1" applyAlignment="1">
      <alignment horizontal="center" vertical="center"/>
    </xf>
    <xf numFmtId="0" fontId="34" fillId="3" borderId="14" xfId="0" applyFont="1" applyFill="1" applyBorder="1" applyAlignment="1">
      <alignment horizontal="center" vertical="center"/>
    </xf>
    <xf numFmtId="0" fontId="34" fillId="3" borderId="10" xfId="0" applyFont="1" applyFill="1" applyBorder="1" applyAlignment="1">
      <alignment horizontal="center" vertical="center"/>
    </xf>
    <xf numFmtId="1" fontId="31" fillId="3" borderId="33" xfId="0" applyNumberFormat="1" applyFont="1" applyFill="1" applyBorder="1" applyAlignment="1">
      <alignment horizontal="center" vertical="center"/>
    </xf>
    <xf numFmtId="10" fontId="31" fillId="4" borderId="6" xfId="0" applyNumberFormat="1" applyFont="1" applyFill="1" applyBorder="1" applyAlignment="1">
      <alignment horizontal="center" vertical="center"/>
    </xf>
    <xf numFmtId="10" fontId="31" fillId="4" borderId="13" xfId="0" applyNumberFormat="1" applyFont="1" applyFill="1" applyBorder="1" applyAlignment="1">
      <alignment horizontal="center" vertical="center"/>
    </xf>
    <xf numFmtId="1" fontId="0" fillId="5" borderId="8" xfId="0" applyNumberFormat="1" applyFill="1" applyBorder="1" applyAlignment="1">
      <alignment horizontal="center" vertical="center"/>
    </xf>
    <xf numFmtId="1" fontId="0" fillId="32" borderId="90" xfId="0" applyNumberFormat="1" applyFill="1" applyBorder="1" applyAlignment="1">
      <alignment horizontal="center" vertical="center"/>
    </xf>
    <xf numFmtId="1" fontId="35" fillId="3" borderId="18" xfId="0" applyNumberFormat="1" applyFont="1" applyFill="1" applyBorder="1" applyAlignment="1">
      <alignment horizontal="center" vertical="center"/>
    </xf>
    <xf numFmtId="1" fontId="35" fillId="3" borderId="1" xfId="0" applyNumberFormat="1" applyFont="1" applyFill="1" applyBorder="1" applyAlignment="1">
      <alignment horizontal="center" vertical="center"/>
    </xf>
    <xf numFmtId="164" fontId="34" fillId="3" borderId="20" xfId="0" applyNumberFormat="1" applyFont="1" applyFill="1" applyBorder="1" applyAlignment="1">
      <alignment horizontal="center" vertical="center"/>
    </xf>
    <xf numFmtId="164" fontId="34" fillId="3" borderId="23" xfId="0" applyNumberFormat="1" applyFont="1" applyFill="1" applyBorder="1" applyAlignment="1">
      <alignment horizontal="center" vertical="center"/>
    </xf>
    <xf numFmtId="10" fontId="31" fillId="3" borderId="19" xfId="0" applyNumberFormat="1" applyFont="1" applyFill="1" applyBorder="1" applyAlignment="1">
      <alignment horizontal="center" vertical="center"/>
    </xf>
    <xf numFmtId="10" fontId="31" fillId="3" borderId="5" xfId="0" applyNumberFormat="1" applyFont="1" applyFill="1" applyBorder="1" applyAlignment="1">
      <alignment horizontal="center" vertical="center"/>
    </xf>
    <xf numFmtId="0" fontId="31" fillId="3" borderId="18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1" fontId="31" fillId="3" borderId="20" xfId="0" applyNumberFormat="1" applyFont="1" applyFill="1" applyBorder="1" applyAlignment="1">
      <alignment horizontal="center" vertical="center"/>
    </xf>
    <xf numFmtId="1" fontId="31" fillId="3" borderId="23" xfId="0" applyNumberFormat="1" applyFont="1" applyFill="1" applyBorder="1" applyAlignment="1">
      <alignment horizontal="center" vertical="center"/>
    </xf>
    <xf numFmtId="0" fontId="34" fillId="3" borderId="20" xfId="0" applyFont="1" applyFill="1" applyBorder="1" applyAlignment="1">
      <alignment horizontal="center" vertical="center"/>
    </xf>
    <xf numFmtId="0" fontId="34" fillId="3" borderId="23" xfId="0" applyFont="1" applyFill="1" applyBorder="1" applyAlignment="1">
      <alignment horizontal="center" vertical="center"/>
    </xf>
    <xf numFmtId="1" fontId="31" fillId="3" borderId="53" xfId="0" applyNumberFormat="1" applyFont="1" applyFill="1" applyBorder="1" applyAlignment="1">
      <alignment horizontal="center" vertical="center"/>
    </xf>
    <xf numFmtId="1" fontId="0" fillId="3" borderId="71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10" fontId="31" fillId="4" borderId="19" xfId="0" applyNumberFormat="1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34" fillId="3" borderId="71" xfId="0" quotePrefix="1" applyFont="1" applyFill="1" applyBorder="1" applyAlignment="1">
      <alignment horizontal="center" vertical="center"/>
    </xf>
    <xf numFmtId="0" fontId="34" fillId="3" borderId="33" xfId="0" quotePrefix="1" applyFont="1" applyFill="1" applyBorder="1" applyAlignment="1">
      <alignment horizontal="center" vertical="center"/>
    </xf>
    <xf numFmtId="0" fontId="36" fillId="35" borderId="20" xfId="0" applyFont="1" applyFill="1" applyBorder="1" applyAlignment="1">
      <alignment horizontal="center" vertical="center"/>
    </xf>
    <xf numFmtId="0" fontId="36" fillId="35" borderId="9" xfId="0" applyFont="1" applyFill="1" applyBorder="1" applyAlignment="1">
      <alignment horizontal="center" vertical="center"/>
    </xf>
    <xf numFmtId="1" fontId="36" fillId="35" borderId="20" xfId="0" applyNumberFormat="1" applyFont="1" applyFill="1" applyBorder="1" applyAlignment="1">
      <alignment horizontal="center" vertical="center"/>
    </xf>
    <xf numFmtId="1" fontId="36" fillId="35" borderId="9" xfId="0" applyNumberFormat="1" applyFont="1" applyFill="1" applyBorder="1" applyAlignment="1">
      <alignment horizontal="center" vertical="center"/>
    </xf>
    <xf numFmtId="10" fontId="36" fillId="35" borderId="10" xfId="0" applyNumberFormat="1" applyFont="1" applyFill="1" applyBorder="1" applyAlignment="1">
      <alignment horizontal="center" vertical="center"/>
    </xf>
    <xf numFmtId="1" fontId="36" fillId="35" borderId="39" xfId="0" applyNumberFormat="1" applyFont="1" applyFill="1" applyBorder="1" applyAlignment="1">
      <alignment horizontal="center" vertical="center"/>
    </xf>
    <xf numFmtId="9" fontId="36" fillId="35" borderId="48" xfId="0" applyNumberFormat="1" applyFont="1" applyFill="1" applyBorder="1" applyAlignment="1">
      <alignment horizontal="center" vertical="center"/>
    </xf>
    <xf numFmtId="0" fontId="34" fillId="3" borderId="53" xfId="0" quotePrefix="1" applyFont="1" applyFill="1" applyBorder="1" applyAlignment="1">
      <alignment horizontal="center" vertical="center"/>
    </xf>
    <xf numFmtId="0" fontId="34" fillId="3" borderId="66" xfId="0" quotePrefix="1" applyFont="1" applyFill="1" applyBorder="1" applyAlignment="1">
      <alignment horizontal="center" vertical="center"/>
    </xf>
    <xf numFmtId="0" fontId="34" fillId="3" borderId="67" xfId="0" quotePrefix="1" applyFont="1" applyFill="1" applyBorder="1" applyAlignment="1">
      <alignment horizontal="center" vertical="center"/>
    </xf>
    <xf numFmtId="1" fontId="35" fillId="36" borderId="3" xfId="0" applyNumberFormat="1" applyFont="1" applyFill="1" applyBorder="1" applyAlignment="1">
      <alignment horizontal="center" vertical="center"/>
    </xf>
    <xf numFmtId="10" fontId="31" fillId="3" borderId="59" xfId="0" applyNumberFormat="1" applyFont="1" applyFill="1" applyBorder="1" applyAlignment="1">
      <alignment horizontal="center" vertical="center"/>
    </xf>
    <xf numFmtId="1" fontId="31" fillId="3" borderId="91" xfId="0" applyNumberFormat="1" applyFont="1" applyFill="1" applyBorder="1" applyAlignment="1">
      <alignment horizontal="center" vertical="center"/>
    </xf>
    <xf numFmtId="1" fontId="31" fillId="3" borderId="15" xfId="0" applyNumberFormat="1" applyFont="1" applyFill="1" applyBorder="1" applyAlignment="1">
      <alignment horizontal="center" vertical="center"/>
    </xf>
    <xf numFmtId="1" fontId="31" fillId="3" borderId="92" xfId="0" applyNumberFormat="1" applyFont="1" applyFill="1" applyBorder="1" applyAlignment="1">
      <alignment horizontal="center" vertical="center"/>
    </xf>
    <xf numFmtId="1" fontId="31" fillId="3" borderId="66" xfId="0" applyNumberFormat="1" applyFont="1" applyFill="1" applyBorder="1" applyAlignment="1">
      <alignment horizontal="center" vertical="center"/>
    </xf>
    <xf numFmtId="10" fontId="31" fillId="37" borderId="12" xfId="0" applyNumberFormat="1" applyFont="1" applyFill="1" applyBorder="1" applyAlignment="1">
      <alignment horizontal="center" vertical="center"/>
    </xf>
    <xf numFmtId="10" fontId="31" fillId="37" borderId="19" xfId="0" applyNumberFormat="1" applyFont="1" applyFill="1" applyBorder="1" applyAlignment="1">
      <alignment horizontal="center" vertical="center"/>
    </xf>
    <xf numFmtId="0" fontId="31" fillId="36" borderId="3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3" borderId="35" xfId="0" quotePrefix="1" applyFont="1" applyFill="1" applyBorder="1" applyAlignment="1">
      <alignment horizontal="center" vertical="center"/>
    </xf>
    <xf numFmtId="1" fontId="35" fillId="3" borderId="34" xfId="0" applyNumberFormat="1" applyFont="1" applyFill="1" applyBorder="1" applyAlignment="1">
      <alignment horizontal="center" vertical="center"/>
    </xf>
    <xf numFmtId="164" fontId="34" fillId="3" borderId="14" xfId="0" applyNumberFormat="1" applyFont="1" applyFill="1" applyBorder="1" applyAlignment="1">
      <alignment horizontal="center" vertical="center"/>
    </xf>
    <xf numFmtId="1" fontId="31" fillId="3" borderId="14" xfId="0" applyNumberFormat="1" applyFont="1" applyFill="1" applyBorder="1" applyAlignment="1">
      <alignment horizontal="center" vertical="center"/>
    </xf>
    <xf numFmtId="10" fontId="31" fillId="4" borderId="35" xfId="0" applyNumberFormat="1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2" borderId="35" xfId="0" applyNumberFormat="1" applyFill="1" applyBorder="1"/>
    <xf numFmtId="0" fontId="0" fillId="2" borderId="67" xfId="0" applyFill="1" applyBorder="1"/>
    <xf numFmtId="1" fontId="31" fillId="3" borderId="6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5" borderId="0" xfId="0" applyNumberFormat="1" applyFill="1" applyBorder="1" applyAlignment="1">
      <alignment horizontal="center" vertical="center" wrapText="1"/>
    </xf>
    <xf numFmtId="0" fontId="0" fillId="0" borderId="0" xfId="0" applyAlignment="1"/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3" fontId="0" fillId="0" borderId="0" xfId="0" applyNumberFormat="1" applyAlignment="1"/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0" fillId="38" borderId="0" xfId="0" applyNumberFormat="1" applyFill="1" applyAlignment="1">
      <alignment horizontal="center" vertical="center"/>
    </xf>
    <xf numFmtId="4" fontId="0" fillId="38" borderId="0" xfId="0" applyNumberFormat="1" applyFill="1" applyAlignment="1">
      <alignment horizontal="center" vertical="center"/>
    </xf>
    <xf numFmtId="10" fontId="0" fillId="38" borderId="0" xfId="0" applyNumberFormat="1" applyFill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" fontId="0" fillId="5" borderId="18" xfId="0" applyNumberFormat="1" applyFill="1" applyBorder="1" applyAlignment="1">
      <alignment horizontal="left" vertical="center"/>
    </xf>
    <xf numFmtId="1" fontId="0" fillId="5" borderId="3" xfId="0" applyNumberFormat="1" applyFill="1" applyBorder="1" applyAlignment="1">
      <alignment horizontal="left" vertical="center"/>
    </xf>
    <xf numFmtId="1" fontId="0" fillId="5" borderId="4" xfId="0" applyNumberFormat="1" applyFill="1" applyBorder="1" applyAlignment="1">
      <alignment horizontal="left" vertical="center"/>
    </xf>
    <xf numFmtId="1" fontId="0" fillId="5" borderId="19" xfId="0" applyNumberFormat="1" applyFill="1" applyBorder="1" applyAlignment="1">
      <alignment horizontal="left" vertical="center"/>
    </xf>
    <xf numFmtId="1" fontId="0" fillId="5" borderId="12" xfId="0" applyNumberFormat="1" applyFill="1" applyBorder="1" applyAlignment="1">
      <alignment horizontal="left" vertical="center"/>
    </xf>
    <xf numFmtId="1" fontId="0" fillId="5" borderId="35" xfId="0" applyNumberFormat="1" applyFill="1" applyBorder="1" applyAlignment="1">
      <alignment horizontal="left" vertical="center"/>
    </xf>
    <xf numFmtId="1" fontId="0" fillId="5" borderId="34" xfId="0" applyNumberFormat="1" applyFill="1" applyBorder="1" applyAlignment="1">
      <alignment horizontal="left" vertical="center"/>
    </xf>
    <xf numFmtId="0" fontId="0" fillId="4" borderId="66" xfId="0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5" borderId="11" xfId="0" applyNumberFormat="1" applyFill="1" applyBorder="1" applyAlignment="1">
      <alignment horizontal="left" vertical="center"/>
    </xf>
    <xf numFmtId="1" fontId="0" fillId="5" borderId="21" xfId="0" applyNumberFormat="1" applyFill="1" applyBorder="1" applyAlignment="1">
      <alignment horizontal="left" vertical="center"/>
    </xf>
    <xf numFmtId="1" fontId="0" fillId="5" borderId="37" xfId="0" applyNumberFormat="1" applyFill="1" applyBorder="1" applyAlignment="1">
      <alignment horizontal="left" vertical="center"/>
    </xf>
    <xf numFmtId="1" fontId="0" fillId="5" borderId="60" xfId="0" applyNumberFormat="1" applyFill="1" applyBorder="1" applyAlignment="1">
      <alignment horizontal="center" vertical="center" wrapText="1"/>
    </xf>
    <xf numFmtId="1" fontId="0" fillId="5" borderId="55" xfId="0" applyNumberForma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61" xfId="0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67" xfId="0" applyFill="1" applyBorder="1" applyAlignment="1">
      <alignment horizontal="center" vertical="center"/>
    </xf>
    <xf numFmtId="0" fontId="0" fillId="3" borderId="70" xfId="0" applyFill="1" applyBorder="1" applyAlignment="1">
      <alignment horizontal="center" vertical="center"/>
    </xf>
    <xf numFmtId="0" fontId="0" fillId="3" borderId="68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59" xfId="0" applyFill="1" applyBorder="1" applyAlignment="1">
      <alignment horizontal="center"/>
    </xf>
    <xf numFmtId="0" fontId="0" fillId="3" borderId="71" xfId="0" applyFill="1" applyBorder="1" applyAlignment="1">
      <alignment horizontal="center" vertical="center"/>
    </xf>
    <xf numFmtId="0" fontId="0" fillId="7" borderId="23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1" fontId="0" fillId="5" borderId="13" xfId="0" applyNumberForma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5" borderId="50" xfId="0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0" fillId="34" borderId="18" xfId="0" applyFill="1" applyBorder="1" applyAlignment="1">
      <alignment horizontal="center"/>
    </xf>
    <xf numFmtId="0" fontId="0" fillId="34" borderId="4" xfId="0" applyFill="1" applyBorder="1" applyAlignment="1">
      <alignment horizontal="center"/>
    </xf>
    <xf numFmtId="0" fontId="0" fillId="34" borderId="60" xfId="0" applyFill="1" applyBorder="1" applyAlignment="1">
      <alignment horizontal="center"/>
    </xf>
    <xf numFmtId="0" fontId="0" fillId="34" borderId="55" xfId="0" applyFill="1" applyBorder="1" applyAlignment="1">
      <alignment horizontal="center"/>
    </xf>
  </cellXfs>
  <cellStyles count="3055">
    <cellStyle name="%" xfId="1"/>
    <cellStyle name="0,0_x000d__x000a_NA_x000d__x000a_" xfId="1592"/>
    <cellStyle name="20% - Accent1 10" xfId="2"/>
    <cellStyle name="20% - Accent1 10 2" xfId="376"/>
    <cellStyle name="20% - Accent1 2" xfId="3"/>
    <cellStyle name="20% - Accent1 2 2" xfId="377"/>
    <cellStyle name="20% - Accent1 3" xfId="4"/>
    <cellStyle name="20% - Accent1 3 2" xfId="378"/>
    <cellStyle name="20% - Accent1 4" xfId="5"/>
    <cellStyle name="20% - Accent1 4 2" xfId="379"/>
    <cellStyle name="20% - Accent1 5" xfId="6"/>
    <cellStyle name="20% - Accent1 5 2" xfId="380"/>
    <cellStyle name="20% - Accent1 6" xfId="7"/>
    <cellStyle name="20% - Accent1 6 2" xfId="381"/>
    <cellStyle name="20% - Accent1 7" xfId="8"/>
    <cellStyle name="20% - Accent1 7 2" xfId="382"/>
    <cellStyle name="20% - Accent1 8" xfId="9"/>
    <cellStyle name="20% - Accent1 8 2" xfId="383"/>
    <cellStyle name="20% - Accent1 9" xfId="10"/>
    <cellStyle name="20% - Accent1 9 2" xfId="384"/>
    <cellStyle name="20% - Accent2 10" xfId="11"/>
    <cellStyle name="20% - Accent2 10 2" xfId="385"/>
    <cellStyle name="20% - Accent2 2" xfId="12"/>
    <cellStyle name="20% - Accent2 2 2" xfId="386"/>
    <cellStyle name="20% - Accent2 3" xfId="13"/>
    <cellStyle name="20% - Accent2 3 2" xfId="387"/>
    <cellStyle name="20% - Accent2 4" xfId="14"/>
    <cellStyle name="20% - Accent2 4 2" xfId="388"/>
    <cellStyle name="20% - Accent2 5" xfId="15"/>
    <cellStyle name="20% - Accent2 5 2" xfId="389"/>
    <cellStyle name="20% - Accent2 6" xfId="16"/>
    <cellStyle name="20% - Accent2 6 2" xfId="390"/>
    <cellStyle name="20% - Accent2 7" xfId="17"/>
    <cellStyle name="20% - Accent2 7 2" xfId="391"/>
    <cellStyle name="20% - Accent2 8" xfId="18"/>
    <cellStyle name="20% - Accent2 8 2" xfId="392"/>
    <cellStyle name="20% - Accent2 9" xfId="19"/>
    <cellStyle name="20% - Accent2 9 2" xfId="393"/>
    <cellStyle name="20% - Accent3 10" xfId="20"/>
    <cellStyle name="20% - Accent3 10 2" xfId="394"/>
    <cellStyle name="20% - Accent3 2" xfId="21"/>
    <cellStyle name="20% - Accent3 2 2" xfId="395"/>
    <cellStyle name="20% - Accent3 3" xfId="22"/>
    <cellStyle name="20% - Accent3 3 2" xfId="396"/>
    <cellStyle name="20% - Accent3 4" xfId="23"/>
    <cellStyle name="20% - Accent3 4 2" xfId="397"/>
    <cellStyle name="20% - Accent3 5" xfId="24"/>
    <cellStyle name="20% - Accent3 5 2" xfId="398"/>
    <cellStyle name="20% - Accent3 6" xfId="25"/>
    <cellStyle name="20% - Accent3 6 2" xfId="399"/>
    <cellStyle name="20% - Accent3 7" xfId="26"/>
    <cellStyle name="20% - Accent3 7 2" xfId="400"/>
    <cellStyle name="20% - Accent3 8" xfId="27"/>
    <cellStyle name="20% - Accent3 8 2" xfId="401"/>
    <cellStyle name="20% - Accent3 9" xfId="28"/>
    <cellStyle name="20% - Accent3 9 2" xfId="402"/>
    <cellStyle name="20% - Accent4 10" xfId="29"/>
    <cellStyle name="20% - Accent4 10 2" xfId="403"/>
    <cellStyle name="20% - Accent4 2" xfId="30"/>
    <cellStyle name="20% - Accent4 2 2" xfId="404"/>
    <cellStyle name="20% - Accent4 3" xfId="31"/>
    <cellStyle name="20% - Accent4 3 2" xfId="405"/>
    <cellStyle name="20% - Accent4 4" xfId="32"/>
    <cellStyle name="20% - Accent4 4 2" xfId="406"/>
    <cellStyle name="20% - Accent4 5" xfId="33"/>
    <cellStyle name="20% - Accent4 5 2" xfId="407"/>
    <cellStyle name="20% - Accent4 6" xfId="34"/>
    <cellStyle name="20% - Accent4 6 2" xfId="408"/>
    <cellStyle name="20% - Accent4 7" xfId="35"/>
    <cellStyle name="20% - Accent4 7 2" xfId="409"/>
    <cellStyle name="20% - Accent4 8" xfId="36"/>
    <cellStyle name="20% - Accent4 8 2" xfId="410"/>
    <cellStyle name="20% - Accent4 9" xfId="37"/>
    <cellStyle name="20% - Accent4 9 2" xfId="1148"/>
    <cellStyle name="20% - Accent5 10" xfId="38"/>
    <cellStyle name="20% - Accent5 10 2" xfId="1124"/>
    <cellStyle name="20% - Accent5 2" xfId="39"/>
    <cellStyle name="20% - Accent5 2 2" xfId="1143"/>
    <cellStyle name="20% - Accent5 3" xfId="40"/>
    <cellStyle name="20% - Accent5 3 2" xfId="1129"/>
    <cellStyle name="20% - Accent5 4" xfId="41"/>
    <cellStyle name="20% - Accent5 4 2" xfId="1138"/>
    <cellStyle name="20% - Accent5 5" xfId="42"/>
    <cellStyle name="20% - Accent5 5 2" xfId="1095"/>
    <cellStyle name="20% - Accent5 6" xfId="43"/>
    <cellStyle name="20% - Accent5 6 2" xfId="1104"/>
    <cellStyle name="20% - Accent5 7" xfId="44"/>
    <cellStyle name="20% - Accent5 7 2" xfId="1094"/>
    <cellStyle name="20% - Accent5 8" xfId="45"/>
    <cellStyle name="20% - Accent5 8 2" xfId="1105"/>
    <cellStyle name="20% - Accent5 9" xfId="46"/>
    <cellStyle name="20% - Accent5 9 2" xfId="1161"/>
    <cellStyle name="20% - Accent6 10" xfId="47"/>
    <cellStyle name="20% - Accent6 10 2" xfId="1111"/>
    <cellStyle name="20% - Accent6 2" xfId="48"/>
    <cellStyle name="20% - Accent6 2 2" xfId="1157"/>
    <cellStyle name="20% - Accent6 3" xfId="49"/>
    <cellStyle name="20% - Accent6 3 2" xfId="1115"/>
    <cellStyle name="20% - Accent6 4" xfId="50"/>
    <cellStyle name="20% - Accent6 4 2" xfId="1152"/>
    <cellStyle name="20% - Accent6 5" xfId="51"/>
    <cellStyle name="20% - Accent6 5 2" xfId="1120"/>
    <cellStyle name="20% - Accent6 6" xfId="52"/>
    <cellStyle name="20% - Accent6 6 2" xfId="411"/>
    <cellStyle name="20% - Accent6 7" xfId="53"/>
    <cellStyle name="20% - Accent6 7 2" xfId="1147"/>
    <cellStyle name="20% - Accent6 8" xfId="54"/>
    <cellStyle name="20% - Accent6 8 2" xfId="1125"/>
    <cellStyle name="20% - Accent6 9" xfId="55"/>
    <cellStyle name="20% - Accent6 9 2" xfId="1142"/>
    <cellStyle name="40% - Accent1 10" xfId="56"/>
    <cellStyle name="40% - Accent1 10 2" xfId="1130"/>
    <cellStyle name="40% - Accent1 2" xfId="57"/>
    <cellStyle name="40% - Accent1 2 2" xfId="1137"/>
    <cellStyle name="40% - Accent1 3" xfId="58"/>
    <cellStyle name="40% - Accent1 3 2" xfId="1096"/>
    <cellStyle name="40% - Accent1 4" xfId="59"/>
    <cellStyle name="40% - Accent1 4 2" xfId="1103"/>
    <cellStyle name="40% - Accent1 5" xfId="60"/>
    <cellStyle name="40% - Accent1 5 2" xfId="1093"/>
    <cellStyle name="40% - Accent1 6" xfId="61"/>
    <cellStyle name="40% - Accent1 6 2" xfId="1106"/>
    <cellStyle name="40% - Accent1 7" xfId="62"/>
    <cellStyle name="40% - Accent1 7 2" xfId="1160"/>
    <cellStyle name="40% - Accent1 8" xfId="63"/>
    <cellStyle name="40% - Accent1 8 2" xfId="1112"/>
    <cellStyle name="40% - Accent1 9" xfId="64"/>
    <cellStyle name="40% - Accent1 9 2" xfId="1156"/>
    <cellStyle name="40% - Accent2 10" xfId="65"/>
    <cellStyle name="40% - Accent2 10 2" xfId="1116"/>
    <cellStyle name="40% - Accent2 2" xfId="66"/>
    <cellStyle name="40% - Accent2 2 2" xfId="1151"/>
    <cellStyle name="40% - Accent2 3" xfId="67"/>
    <cellStyle name="40% - Accent2 3 2" xfId="1121"/>
    <cellStyle name="40% - Accent2 4" xfId="68"/>
    <cellStyle name="40% - Accent2 4 2" xfId="412"/>
    <cellStyle name="40% - Accent2 5" xfId="69"/>
    <cellStyle name="40% - Accent2 5 2" xfId="1146"/>
    <cellStyle name="40% - Accent2 6" xfId="70"/>
    <cellStyle name="40% - Accent2 6 2" xfId="1126"/>
    <cellStyle name="40% - Accent2 7" xfId="71"/>
    <cellStyle name="40% - Accent2 7 2" xfId="1141"/>
    <cellStyle name="40% - Accent2 8" xfId="72"/>
    <cellStyle name="40% - Accent2 8 2" xfId="1131"/>
    <cellStyle name="40% - Accent2 9" xfId="73"/>
    <cellStyle name="40% - Accent2 9 2" xfId="1136"/>
    <cellStyle name="40% - Accent3 10" xfId="74"/>
    <cellStyle name="40% - Accent3 10 2" xfId="1097"/>
    <cellStyle name="40% - Accent3 2" xfId="75"/>
    <cellStyle name="40% - Accent3 2 2" xfId="1102"/>
    <cellStyle name="40% - Accent3 3" xfId="76"/>
    <cellStyle name="40% - Accent3 3 2" xfId="1092"/>
    <cellStyle name="40% - Accent3 4" xfId="77"/>
    <cellStyle name="40% - Accent3 4 2" xfId="1107"/>
    <cellStyle name="40% - Accent3 5" xfId="78"/>
    <cellStyle name="40% - Accent3 5 2" xfId="1159"/>
    <cellStyle name="40% - Accent3 6" xfId="79"/>
    <cellStyle name="40% - Accent3 6 2" xfId="1113"/>
    <cellStyle name="40% - Accent3 7" xfId="80"/>
    <cellStyle name="40% - Accent3 7 2" xfId="1155"/>
    <cellStyle name="40% - Accent3 8" xfId="81"/>
    <cellStyle name="40% - Accent3 8 2" xfId="1117"/>
    <cellStyle name="40% - Accent3 9" xfId="82"/>
    <cellStyle name="40% - Accent3 9 2" xfId="1150"/>
    <cellStyle name="40% - Accent4 10" xfId="83"/>
    <cellStyle name="40% - Accent4 10 2" xfId="1122"/>
    <cellStyle name="40% - Accent4 2" xfId="84"/>
    <cellStyle name="40% - Accent4 2 2" xfId="413"/>
    <cellStyle name="40% - Accent4 3" xfId="85"/>
    <cellStyle name="40% - Accent4 3 2" xfId="1145"/>
    <cellStyle name="40% - Accent4 4" xfId="86"/>
    <cellStyle name="40% - Accent4 4 2" xfId="1127"/>
    <cellStyle name="40% - Accent4 5" xfId="87"/>
    <cellStyle name="40% - Accent4 5 2" xfId="1140"/>
    <cellStyle name="40% - Accent4 6" xfId="88"/>
    <cellStyle name="40% - Accent4 6 2" xfId="1132"/>
    <cellStyle name="40% - Accent4 7" xfId="89"/>
    <cellStyle name="40% - Accent4 7 2" xfId="1135"/>
    <cellStyle name="40% - Accent4 8" xfId="90"/>
    <cellStyle name="40% - Accent4 8 2" xfId="1098"/>
    <cellStyle name="40% - Accent4 9" xfId="91"/>
    <cellStyle name="40% - Accent4 9 2" xfId="1101"/>
    <cellStyle name="40% - Accent5 10" xfId="92"/>
    <cellStyle name="40% - Accent5 10 2" xfId="1091"/>
    <cellStyle name="40% - Accent5 2" xfId="93"/>
    <cellStyle name="40% - Accent5 2 2" xfId="1108"/>
    <cellStyle name="40% - Accent5 3" xfId="94"/>
    <cellStyle name="40% - Accent5 3 2" xfId="1158"/>
    <cellStyle name="40% - Accent5 4" xfId="95"/>
    <cellStyle name="40% - Accent5 4 2" xfId="1114"/>
    <cellStyle name="40% - Accent5 5" xfId="96"/>
    <cellStyle name="40% - Accent5 5 2" xfId="1154"/>
    <cellStyle name="40% - Accent5 6" xfId="97"/>
    <cellStyle name="40% - Accent5 6 2" xfId="1118"/>
    <cellStyle name="40% - Accent5 7" xfId="98"/>
    <cellStyle name="40% - Accent5 7 2" xfId="1149"/>
    <cellStyle name="40% - Accent5 8" xfId="99"/>
    <cellStyle name="40% - Accent5 8 2" xfId="1123"/>
    <cellStyle name="40% - Accent5 9" xfId="100"/>
    <cellStyle name="40% - Accent5 9 2" xfId="414"/>
    <cellStyle name="40% - Accent6 10" xfId="101"/>
    <cellStyle name="40% - Accent6 10 2" xfId="1144"/>
    <cellStyle name="40% - Accent6 2" xfId="102"/>
    <cellStyle name="40% - Accent6 2 2" xfId="1128"/>
    <cellStyle name="40% - Accent6 3" xfId="103"/>
    <cellStyle name="40% - Accent6 3 2" xfId="1139"/>
    <cellStyle name="40% - Accent6 4" xfId="104"/>
    <cellStyle name="40% - Accent6 4 2" xfId="1133"/>
    <cellStyle name="40% - Accent6 5" xfId="105"/>
    <cellStyle name="40% - Accent6 5 2" xfId="1134"/>
    <cellStyle name="40% - Accent6 6" xfId="106"/>
    <cellStyle name="40% - Accent6 6 2" xfId="1099"/>
    <cellStyle name="40% - Accent6 7" xfId="107"/>
    <cellStyle name="40% - Accent6 7 2" xfId="1100"/>
    <cellStyle name="40% - Accent6 8" xfId="108"/>
    <cellStyle name="40% - Accent6 8 2" xfId="1090"/>
    <cellStyle name="40% - Accent6 9" xfId="109"/>
    <cellStyle name="40% - Accent6 9 2" xfId="1109"/>
    <cellStyle name="60% - Accent1 10" xfId="110"/>
    <cellStyle name="60% - Accent1 2" xfId="111"/>
    <cellStyle name="60% - Accent1 3" xfId="112"/>
    <cellStyle name="60% - Accent1 4" xfId="113"/>
    <cellStyle name="60% - Accent1 5" xfId="114"/>
    <cellStyle name="60% - Accent1 6" xfId="115"/>
    <cellStyle name="60% - Accent1 7" xfId="116"/>
    <cellStyle name="60% - Accent1 8" xfId="117"/>
    <cellStyle name="60% - Accent1 9" xfId="118"/>
    <cellStyle name="60% - Accent2 10" xfId="119"/>
    <cellStyle name="60% - Accent2 2" xfId="120"/>
    <cellStyle name="60% - Accent2 3" xfId="121"/>
    <cellStyle name="60% - Accent2 4" xfId="122"/>
    <cellStyle name="60% - Accent2 5" xfId="123"/>
    <cellStyle name="60% - Accent2 6" xfId="124"/>
    <cellStyle name="60% - Accent2 7" xfId="125"/>
    <cellStyle name="60% - Accent2 8" xfId="126"/>
    <cellStyle name="60% - Accent2 9" xfId="127"/>
    <cellStyle name="60% - Accent3 10" xfId="128"/>
    <cellStyle name="60% - Accent3 2" xfId="129"/>
    <cellStyle name="60% - Accent3 3" xfId="130"/>
    <cellStyle name="60% - Accent3 4" xfId="131"/>
    <cellStyle name="60% - Accent3 5" xfId="132"/>
    <cellStyle name="60% - Accent3 6" xfId="133"/>
    <cellStyle name="60% - Accent3 7" xfId="134"/>
    <cellStyle name="60% - Accent3 8" xfId="135"/>
    <cellStyle name="60% - Accent3 9" xfId="136"/>
    <cellStyle name="60% - Accent4 10" xfId="137"/>
    <cellStyle name="60% - Accent4 2" xfId="138"/>
    <cellStyle name="60% - Accent4 3" xfId="139"/>
    <cellStyle name="60% - Accent4 4" xfId="140"/>
    <cellStyle name="60% - Accent4 5" xfId="141"/>
    <cellStyle name="60% - Accent4 6" xfId="142"/>
    <cellStyle name="60% - Accent4 7" xfId="143"/>
    <cellStyle name="60% - Accent4 8" xfId="144"/>
    <cellStyle name="60% - Accent4 9" xfId="145"/>
    <cellStyle name="60% - Accent5 10" xfId="146"/>
    <cellStyle name="60% - Accent5 2" xfId="147"/>
    <cellStyle name="60% - Accent5 3" xfId="148"/>
    <cellStyle name="60% - Accent5 4" xfId="149"/>
    <cellStyle name="60% - Accent5 5" xfId="150"/>
    <cellStyle name="60% - Accent5 6" xfId="151"/>
    <cellStyle name="60% - Accent5 7" xfId="152"/>
    <cellStyle name="60% - Accent5 8" xfId="153"/>
    <cellStyle name="60% - Accent5 9" xfId="154"/>
    <cellStyle name="60% - Accent6 10" xfId="155"/>
    <cellStyle name="60% - Accent6 2" xfId="156"/>
    <cellStyle name="60% - Accent6 3" xfId="157"/>
    <cellStyle name="60% - Accent6 4" xfId="158"/>
    <cellStyle name="60% - Accent6 5" xfId="159"/>
    <cellStyle name="60% - Accent6 6" xfId="160"/>
    <cellStyle name="60% - Accent6 7" xfId="161"/>
    <cellStyle name="60% - Accent6 8" xfId="162"/>
    <cellStyle name="60% - Accent6 9" xfId="163"/>
    <cellStyle name="Accent1 10" xfId="164"/>
    <cellStyle name="Accent1 2" xfId="165"/>
    <cellStyle name="Accent1 3" xfId="166"/>
    <cellStyle name="Accent1 4" xfId="167"/>
    <cellStyle name="Accent1 5" xfId="168"/>
    <cellStyle name="Accent1 6" xfId="169"/>
    <cellStyle name="Accent1 7" xfId="170"/>
    <cellStyle name="Accent1 8" xfId="171"/>
    <cellStyle name="Accent1 9" xfId="172"/>
    <cellStyle name="Accent2 10" xfId="173"/>
    <cellStyle name="Accent2 2" xfId="174"/>
    <cellStyle name="Accent2 3" xfId="175"/>
    <cellStyle name="Accent2 4" xfId="176"/>
    <cellStyle name="Accent2 5" xfId="177"/>
    <cellStyle name="Accent2 6" xfId="178"/>
    <cellStyle name="Accent2 7" xfId="179"/>
    <cellStyle name="Accent2 8" xfId="180"/>
    <cellStyle name="Accent2 9" xfId="181"/>
    <cellStyle name="Accent3 10" xfId="182"/>
    <cellStyle name="Accent3 2" xfId="183"/>
    <cellStyle name="Accent3 3" xfId="184"/>
    <cellStyle name="Accent3 4" xfId="185"/>
    <cellStyle name="Accent3 5" xfId="186"/>
    <cellStyle name="Accent3 6" xfId="187"/>
    <cellStyle name="Accent3 7" xfId="188"/>
    <cellStyle name="Accent3 8" xfId="189"/>
    <cellStyle name="Accent3 9" xfId="190"/>
    <cellStyle name="Accent4 10" xfId="191"/>
    <cellStyle name="Accent4 2" xfId="192"/>
    <cellStyle name="Accent4 3" xfId="193"/>
    <cellStyle name="Accent4 4" xfId="194"/>
    <cellStyle name="Accent4 5" xfId="195"/>
    <cellStyle name="Accent4 6" xfId="196"/>
    <cellStyle name="Accent4 7" xfId="197"/>
    <cellStyle name="Accent4 8" xfId="198"/>
    <cellStyle name="Accent4 9" xfId="199"/>
    <cellStyle name="Accent5 10" xfId="200"/>
    <cellStyle name="Accent5 2" xfId="201"/>
    <cellStyle name="Accent5 3" xfId="202"/>
    <cellStyle name="Accent5 4" xfId="203"/>
    <cellStyle name="Accent5 5" xfId="204"/>
    <cellStyle name="Accent5 6" xfId="205"/>
    <cellStyle name="Accent5 7" xfId="206"/>
    <cellStyle name="Accent5 8" xfId="207"/>
    <cellStyle name="Accent5 9" xfId="208"/>
    <cellStyle name="Accent6 10" xfId="209"/>
    <cellStyle name="Accent6 2" xfId="210"/>
    <cellStyle name="Accent6 3" xfId="211"/>
    <cellStyle name="Accent6 4" xfId="212"/>
    <cellStyle name="Accent6 5" xfId="213"/>
    <cellStyle name="Accent6 6" xfId="214"/>
    <cellStyle name="Accent6 7" xfId="215"/>
    <cellStyle name="Accent6 8" xfId="216"/>
    <cellStyle name="Accent6 9" xfId="217"/>
    <cellStyle name="Bad 10" xfId="218"/>
    <cellStyle name="Bad 2" xfId="219"/>
    <cellStyle name="Bad 3" xfId="220"/>
    <cellStyle name="Bad 4" xfId="221"/>
    <cellStyle name="Bad 5" xfId="222"/>
    <cellStyle name="Bad 6" xfId="223"/>
    <cellStyle name="Bad 7" xfId="224"/>
    <cellStyle name="Bad 8" xfId="225"/>
    <cellStyle name="Bad 9" xfId="226"/>
    <cellStyle name="Calculation 10" xfId="227"/>
    <cellStyle name="Calculation 10 10" xfId="603"/>
    <cellStyle name="Calculation 10 10 2" xfId="2550"/>
    <cellStyle name="Calculation 10 11" xfId="649"/>
    <cellStyle name="Calculation 10 11 2" xfId="2604"/>
    <cellStyle name="Calculation 10 12" xfId="594"/>
    <cellStyle name="Calculation 10 12 2" xfId="2660"/>
    <cellStyle name="Calculation 10 13" xfId="658"/>
    <cellStyle name="Calculation 10 13 2" xfId="2394"/>
    <cellStyle name="Calculation 10 14" xfId="585"/>
    <cellStyle name="Calculation 10 14 2" xfId="2833"/>
    <cellStyle name="Calculation 10 15" xfId="667"/>
    <cellStyle name="Calculation 10 15 2" xfId="2361"/>
    <cellStyle name="Calculation 10 16" xfId="576"/>
    <cellStyle name="Calculation 10 16 2" xfId="2904"/>
    <cellStyle name="Calculation 10 17" xfId="1197"/>
    <cellStyle name="Calculation 10 17 2" xfId="2998"/>
    <cellStyle name="Calculation 10 18" xfId="1295"/>
    <cellStyle name="Calculation 10 18 2" xfId="2913"/>
    <cellStyle name="Calculation 10 19" xfId="1393"/>
    <cellStyle name="Calculation 10 2" xfId="415"/>
    <cellStyle name="Calculation 10 2 2" xfId="1247"/>
    <cellStyle name="Calculation 10 2 3" xfId="1345"/>
    <cellStyle name="Calculation 10 2 4" xfId="1443"/>
    <cellStyle name="Calculation 10 2 5" xfId="1541"/>
    <cellStyle name="Calculation 10 2 6" xfId="1646"/>
    <cellStyle name="Calculation 10 2 7" xfId="1749"/>
    <cellStyle name="Calculation 10 2 8" xfId="1852"/>
    <cellStyle name="Calculation 10 2 9" xfId="1955"/>
    <cellStyle name="Calculation 10 20" xfId="1491"/>
    <cellStyle name="Calculation 10 21" xfId="1596"/>
    <cellStyle name="Calculation 10 22" xfId="1699"/>
    <cellStyle name="Calculation 10 23" xfId="1802"/>
    <cellStyle name="Calculation 10 24" xfId="1902"/>
    <cellStyle name="Calculation 10 3" xfId="478"/>
    <cellStyle name="Calculation 10 3 2" xfId="2014"/>
    <cellStyle name="Calculation 10 4" xfId="477"/>
    <cellStyle name="Calculation 10 4 2" xfId="2073"/>
    <cellStyle name="Calculation 10 5" xfId="622"/>
    <cellStyle name="Calculation 10 5 2" xfId="2190"/>
    <cellStyle name="Calculation 10 6" xfId="621"/>
    <cellStyle name="Calculation 10 6 2" xfId="2189"/>
    <cellStyle name="Calculation 10 7" xfId="631"/>
    <cellStyle name="Calculation 10 7 2" xfId="2385"/>
    <cellStyle name="Calculation 10 8" xfId="612"/>
    <cellStyle name="Calculation 10 8 2" xfId="2358"/>
    <cellStyle name="Calculation 10 9" xfId="640"/>
    <cellStyle name="Calculation 10 9 2" xfId="2495"/>
    <cellStyle name="Calculation 2" xfId="228"/>
    <cellStyle name="Calculation 2 10" xfId="602"/>
    <cellStyle name="Calculation 2 10 2" xfId="2551"/>
    <cellStyle name="Calculation 2 11" xfId="650"/>
    <cellStyle name="Calculation 2 11 2" xfId="2605"/>
    <cellStyle name="Calculation 2 12" xfId="593"/>
    <cellStyle name="Calculation 2 12 2" xfId="2661"/>
    <cellStyle name="Calculation 2 13" xfId="659"/>
    <cellStyle name="Calculation 2 13 2" xfId="2395"/>
    <cellStyle name="Calculation 2 14" xfId="584"/>
    <cellStyle name="Calculation 2 14 2" xfId="2817"/>
    <cellStyle name="Calculation 2 15" xfId="668"/>
    <cellStyle name="Calculation 2 15 2" xfId="2845"/>
    <cellStyle name="Calculation 2 16" xfId="575"/>
    <cellStyle name="Calculation 2 16 2" xfId="2905"/>
    <cellStyle name="Calculation 2 17" xfId="1198"/>
    <cellStyle name="Calculation 2 17 2" xfId="3041"/>
    <cellStyle name="Calculation 2 18" xfId="1296"/>
    <cellStyle name="Calculation 2 18 2" xfId="3054"/>
    <cellStyle name="Calculation 2 19" xfId="1394"/>
    <cellStyle name="Calculation 2 2" xfId="416"/>
    <cellStyle name="Calculation 2 2 2" xfId="1248"/>
    <cellStyle name="Calculation 2 2 3" xfId="1346"/>
    <cellStyle name="Calculation 2 2 4" xfId="1444"/>
    <cellStyle name="Calculation 2 2 5" xfId="1542"/>
    <cellStyle name="Calculation 2 2 6" xfId="1647"/>
    <cellStyle name="Calculation 2 2 7" xfId="1750"/>
    <cellStyle name="Calculation 2 2 8" xfId="1853"/>
    <cellStyle name="Calculation 2 2 9" xfId="1956"/>
    <cellStyle name="Calculation 2 20" xfId="1492"/>
    <cellStyle name="Calculation 2 21" xfId="1597"/>
    <cellStyle name="Calculation 2 22" xfId="1700"/>
    <cellStyle name="Calculation 2 23" xfId="1803"/>
    <cellStyle name="Calculation 2 24" xfId="1903"/>
    <cellStyle name="Calculation 2 3" xfId="479"/>
    <cellStyle name="Calculation 2 3 2" xfId="2015"/>
    <cellStyle name="Calculation 2 4" xfId="476"/>
    <cellStyle name="Calculation 2 4 2" xfId="2074"/>
    <cellStyle name="Calculation 2 5" xfId="623"/>
    <cellStyle name="Calculation 2 5 2" xfId="2191"/>
    <cellStyle name="Calculation 2 6" xfId="620"/>
    <cellStyle name="Calculation 2 6 2" xfId="2188"/>
    <cellStyle name="Calculation 2 7" xfId="632"/>
    <cellStyle name="Calculation 2 7 2" xfId="2386"/>
    <cellStyle name="Calculation 2 8" xfId="611"/>
    <cellStyle name="Calculation 2 8 2" xfId="2357"/>
    <cellStyle name="Calculation 2 9" xfId="641"/>
    <cellStyle name="Calculation 2 9 2" xfId="2496"/>
    <cellStyle name="Calculation 3" xfId="229"/>
    <cellStyle name="Calculation 3 10" xfId="601"/>
    <cellStyle name="Calculation 3 10 2" xfId="2552"/>
    <cellStyle name="Calculation 3 11" xfId="651"/>
    <cellStyle name="Calculation 3 11 2" xfId="2606"/>
    <cellStyle name="Calculation 3 12" xfId="592"/>
    <cellStyle name="Calculation 3 12 2" xfId="2662"/>
    <cellStyle name="Calculation 3 13" xfId="660"/>
    <cellStyle name="Calculation 3 13 2" xfId="2396"/>
    <cellStyle name="Calculation 3 14" xfId="583"/>
    <cellStyle name="Calculation 3 14 2" xfId="2802"/>
    <cellStyle name="Calculation 3 15" xfId="669"/>
    <cellStyle name="Calculation 3 15 2" xfId="2322"/>
    <cellStyle name="Calculation 3 16" xfId="574"/>
    <cellStyle name="Calculation 3 16 2" xfId="2906"/>
    <cellStyle name="Calculation 3 17" xfId="1199"/>
    <cellStyle name="Calculation 3 17 2" xfId="3028"/>
    <cellStyle name="Calculation 3 18" xfId="1297"/>
    <cellStyle name="Calculation 3 18 2" xfId="2854"/>
    <cellStyle name="Calculation 3 19" xfId="1395"/>
    <cellStyle name="Calculation 3 2" xfId="417"/>
    <cellStyle name="Calculation 3 2 2" xfId="1249"/>
    <cellStyle name="Calculation 3 2 3" xfId="1347"/>
    <cellStyle name="Calculation 3 2 4" xfId="1445"/>
    <cellStyle name="Calculation 3 2 5" xfId="1543"/>
    <cellStyle name="Calculation 3 2 6" xfId="1648"/>
    <cellStyle name="Calculation 3 2 7" xfId="1751"/>
    <cellStyle name="Calculation 3 2 8" xfId="1854"/>
    <cellStyle name="Calculation 3 2 9" xfId="1957"/>
    <cellStyle name="Calculation 3 20" xfId="1493"/>
    <cellStyle name="Calculation 3 21" xfId="1598"/>
    <cellStyle name="Calculation 3 22" xfId="1701"/>
    <cellStyle name="Calculation 3 23" xfId="1804"/>
    <cellStyle name="Calculation 3 24" xfId="1904"/>
    <cellStyle name="Calculation 3 3" xfId="480"/>
    <cellStyle name="Calculation 3 3 2" xfId="2016"/>
    <cellStyle name="Calculation 3 4" xfId="475"/>
    <cellStyle name="Calculation 3 4 2" xfId="2075"/>
    <cellStyle name="Calculation 3 5" xfId="624"/>
    <cellStyle name="Calculation 3 5 2" xfId="2192"/>
    <cellStyle name="Calculation 3 6" xfId="619"/>
    <cellStyle name="Calculation 3 6 2" xfId="2187"/>
    <cellStyle name="Calculation 3 7" xfId="633"/>
    <cellStyle name="Calculation 3 7 2" xfId="2387"/>
    <cellStyle name="Calculation 3 8" xfId="610"/>
    <cellStyle name="Calculation 3 8 2" xfId="2356"/>
    <cellStyle name="Calculation 3 9" xfId="642"/>
    <cellStyle name="Calculation 3 9 2" xfId="2497"/>
    <cellStyle name="Calculation 4" xfId="230"/>
    <cellStyle name="Calculation 4 10" xfId="600"/>
    <cellStyle name="Calculation 4 10 2" xfId="2553"/>
    <cellStyle name="Calculation 4 11" xfId="652"/>
    <cellStyle name="Calculation 4 11 2" xfId="2607"/>
    <cellStyle name="Calculation 4 12" xfId="591"/>
    <cellStyle name="Calculation 4 12 2" xfId="2663"/>
    <cellStyle name="Calculation 4 13" xfId="661"/>
    <cellStyle name="Calculation 4 13 2" xfId="2397"/>
    <cellStyle name="Calculation 4 14" xfId="582"/>
    <cellStyle name="Calculation 4 14 2" xfId="2778"/>
    <cellStyle name="Calculation 4 15" xfId="670"/>
    <cellStyle name="Calculation 4 15 2" xfId="2338"/>
    <cellStyle name="Calculation 4 16" xfId="573"/>
    <cellStyle name="Calculation 4 16 2" xfId="2907"/>
    <cellStyle name="Calculation 4 17" xfId="1200"/>
    <cellStyle name="Calculation 4 17 2" xfId="3018"/>
    <cellStyle name="Calculation 4 18" xfId="1298"/>
    <cellStyle name="Calculation 4 18 2" xfId="2861"/>
    <cellStyle name="Calculation 4 19" xfId="1396"/>
    <cellStyle name="Calculation 4 2" xfId="418"/>
    <cellStyle name="Calculation 4 2 2" xfId="1250"/>
    <cellStyle name="Calculation 4 2 3" xfId="1348"/>
    <cellStyle name="Calculation 4 2 4" xfId="1446"/>
    <cellStyle name="Calculation 4 2 5" xfId="1544"/>
    <cellStyle name="Calculation 4 2 6" xfId="1649"/>
    <cellStyle name="Calculation 4 2 7" xfId="1752"/>
    <cellStyle name="Calculation 4 2 8" xfId="1855"/>
    <cellStyle name="Calculation 4 2 9" xfId="1958"/>
    <cellStyle name="Calculation 4 20" xfId="1494"/>
    <cellStyle name="Calculation 4 21" xfId="1599"/>
    <cellStyle name="Calculation 4 22" xfId="1702"/>
    <cellStyle name="Calculation 4 23" xfId="1805"/>
    <cellStyle name="Calculation 4 24" xfId="1905"/>
    <cellStyle name="Calculation 4 3" xfId="481"/>
    <cellStyle name="Calculation 4 3 2" xfId="2017"/>
    <cellStyle name="Calculation 4 4" xfId="474"/>
    <cellStyle name="Calculation 4 4 2" xfId="2076"/>
    <cellStyle name="Calculation 4 5" xfId="625"/>
    <cellStyle name="Calculation 4 5 2" xfId="2193"/>
    <cellStyle name="Calculation 4 6" xfId="618"/>
    <cellStyle name="Calculation 4 6 2" xfId="2186"/>
    <cellStyle name="Calculation 4 7" xfId="634"/>
    <cellStyle name="Calculation 4 7 2" xfId="2388"/>
    <cellStyle name="Calculation 4 8" xfId="609"/>
    <cellStyle name="Calculation 4 8 2" xfId="2355"/>
    <cellStyle name="Calculation 4 9" xfId="643"/>
    <cellStyle name="Calculation 4 9 2" xfId="2498"/>
    <cellStyle name="Calculation 5" xfId="231"/>
    <cellStyle name="Calculation 5 10" xfId="599"/>
    <cellStyle name="Calculation 5 10 2" xfId="2554"/>
    <cellStyle name="Calculation 5 11" xfId="653"/>
    <cellStyle name="Calculation 5 11 2" xfId="2608"/>
    <cellStyle name="Calculation 5 12" xfId="590"/>
    <cellStyle name="Calculation 5 12 2" xfId="2664"/>
    <cellStyle name="Calculation 5 13" xfId="662"/>
    <cellStyle name="Calculation 5 13 2" xfId="2398"/>
    <cellStyle name="Calculation 5 14" xfId="581"/>
    <cellStyle name="Calculation 5 14 2" xfId="2832"/>
    <cellStyle name="Calculation 5 15" xfId="671"/>
    <cellStyle name="Calculation 5 15 2" xfId="2362"/>
    <cellStyle name="Calculation 5 16" xfId="572"/>
    <cellStyle name="Calculation 5 16 2" xfId="2908"/>
    <cellStyle name="Calculation 5 17" xfId="1201"/>
    <cellStyle name="Calculation 5 17 2" xfId="2997"/>
    <cellStyle name="Calculation 5 18" xfId="1299"/>
    <cellStyle name="Calculation 5 18 2" xfId="2880"/>
    <cellStyle name="Calculation 5 19" xfId="1397"/>
    <cellStyle name="Calculation 5 2" xfId="419"/>
    <cellStyle name="Calculation 5 2 2" xfId="1251"/>
    <cellStyle name="Calculation 5 2 3" xfId="1349"/>
    <cellStyle name="Calculation 5 2 4" xfId="1447"/>
    <cellStyle name="Calculation 5 2 5" xfId="1545"/>
    <cellStyle name="Calculation 5 2 6" xfId="1650"/>
    <cellStyle name="Calculation 5 2 7" xfId="1753"/>
    <cellStyle name="Calculation 5 2 8" xfId="1856"/>
    <cellStyle name="Calculation 5 2 9" xfId="1959"/>
    <cellStyle name="Calculation 5 20" xfId="1495"/>
    <cellStyle name="Calculation 5 21" xfId="1600"/>
    <cellStyle name="Calculation 5 22" xfId="1703"/>
    <cellStyle name="Calculation 5 23" xfId="1806"/>
    <cellStyle name="Calculation 5 24" xfId="1906"/>
    <cellStyle name="Calculation 5 3" xfId="482"/>
    <cellStyle name="Calculation 5 3 2" xfId="2018"/>
    <cellStyle name="Calculation 5 4" xfId="473"/>
    <cellStyle name="Calculation 5 4 2" xfId="2077"/>
    <cellStyle name="Calculation 5 5" xfId="626"/>
    <cellStyle name="Calculation 5 5 2" xfId="2194"/>
    <cellStyle name="Calculation 5 6" xfId="617"/>
    <cellStyle name="Calculation 5 6 2" xfId="2185"/>
    <cellStyle name="Calculation 5 7" xfId="635"/>
    <cellStyle name="Calculation 5 7 2" xfId="2389"/>
    <cellStyle name="Calculation 5 8" xfId="608"/>
    <cellStyle name="Calculation 5 8 2" xfId="2354"/>
    <cellStyle name="Calculation 5 9" xfId="644"/>
    <cellStyle name="Calculation 5 9 2" xfId="2499"/>
    <cellStyle name="Calculation 6" xfId="232"/>
    <cellStyle name="Calculation 6 10" xfId="598"/>
    <cellStyle name="Calculation 6 10 2" xfId="2555"/>
    <cellStyle name="Calculation 6 11" xfId="654"/>
    <cellStyle name="Calculation 6 11 2" xfId="2609"/>
    <cellStyle name="Calculation 6 12" xfId="589"/>
    <cellStyle name="Calculation 6 12 2" xfId="2665"/>
    <cellStyle name="Calculation 6 13" xfId="663"/>
    <cellStyle name="Calculation 6 13 2" xfId="2399"/>
    <cellStyle name="Calculation 6 14" xfId="580"/>
    <cellStyle name="Calculation 6 14 2" xfId="2816"/>
    <cellStyle name="Calculation 6 15" xfId="672"/>
    <cellStyle name="Calculation 6 15 2" xfId="2844"/>
    <cellStyle name="Calculation 6 16" xfId="571"/>
    <cellStyle name="Calculation 6 16 2" xfId="2909"/>
    <cellStyle name="Calculation 6 17" xfId="1202"/>
    <cellStyle name="Calculation 6 17 2" xfId="3040"/>
    <cellStyle name="Calculation 6 18" xfId="1300"/>
    <cellStyle name="Calculation 6 18 2" xfId="3053"/>
    <cellStyle name="Calculation 6 19" xfId="1398"/>
    <cellStyle name="Calculation 6 2" xfId="420"/>
    <cellStyle name="Calculation 6 2 2" xfId="1252"/>
    <cellStyle name="Calculation 6 2 3" xfId="1350"/>
    <cellStyle name="Calculation 6 2 4" xfId="1448"/>
    <cellStyle name="Calculation 6 2 5" xfId="1546"/>
    <cellStyle name="Calculation 6 2 6" xfId="1651"/>
    <cellStyle name="Calculation 6 2 7" xfId="1754"/>
    <cellStyle name="Calculation 6 2 8" xfId="1857"/>
    <cellStyle name="Calculation 6 2 9" xfId="1960"/>
    <cellStyle name="Calculation 6 20" xfId="1496"/>
    <cellStyle name="Calculation 6 21" xfId="1601"/>
    <cellStyle name="Calculation 6 22" xfId="1704"/>
    <cellStyle name="Calculation 6 23" xfId="1807"/>
    <cellStyle name="Calculation 6 24" xfId="1907"/>
    <cellStyle name="Calculation 6 3" xfId="483"/>
    <cellStyle name="Calculation 6 3 2" xfId="2019"/>
    <cellStyle name="Calculation 6 4" xfId="472"/>
    <cellStyle name="Calculation 6 4 2" xfId="2078"/>
    <cellStyle name="Calculation 6 5" xfId="627"/>
    <cellStyle name="Calculation 6 5 2" xfId="2195"/>
    <cellStyle name="Calculation 6 6" xfId="616"/>
    <cellStyle name="Calculation 6 6 2" xfId="2184"/>
    <cellStyle name="Calculation 6 7" xfId="636"/>
    <cellStyle name="Calculation 6 7 2" xfId="2390"/>
    <cellStyle name="Calculation 6 8" xfId="607"/>
    <cellStyle name="Calculation 6 8 2" xfId="2353"/>
    <cellStyle name="Calculation 6 9" xfId="645"/>
    <cellStyle name="Calculation 6 9 2" xfId="2500"/>
    <cellStyle name="Calculation 7" xfId="233"/>
    <cellStyle name="Calculation 7 10" xfId="597"/>
    <cellStyle name="Calculation 7 10 2" xfId="2556"/>
    <cellStyle name="Calculation 7 11" xfId="655"/>
    <cellStyle name="Calculation 7 11 2" xfId="2610"/>
    <cellStyle name="Calculation 7 12" xfId="588"/>
    <cellStyle name="Calculation 7 12 2" xfId="2666"/>
    <cellStyle name="Calculation 7 13" xfId="664"/>
    <cellStyle name="Calculation 7 13 2" xfId="2400"/>
    <cellStyle name="Calculation 7 14" xfId="579"/>
    <cellStyle name="Calculation 7 14 2" xfId="2801"/>
    <cellStyle name="Calculation 7 15" xfId="673"/>
    <cellStyle name="Calculation 7 15 2" xfId="2323"/>
    <cellStyle name="Calculation 7 16" xfId="570"/>
    <cellStyle name="Calculation 7 16 2" xfId="2910"/>
    <cellStyle name="Calculation 7 17" xfId="1203"/>
    <cellStyle name="Calculation 7 17 2" xfId="3027"/>
    <cellStyle name="Calculation 7 18" xfId="1301"/>
    <cellStyle name="Calculation 7 18 2" xfId="2855"/>
    <cellStyle name="Calculation 7 19" xfId="1399"/>
    <cellStyle name="Calculation 7 2" xfId="421"/>
    <cellStyle name="Calculation 7 2 2" xfId="1253"/>
    <cellStyle name="Calculation 7 2 3" xfId="1351"/>
    <cellStyle name="Calculation 7 2 4" xfId="1449"/>
    <cellStyle name="Calculation 7 2 5" xfId="1547"/>
    <cellStyle name="Calculation 7 2 6" xfId="1652"/>
    <cellStyle name="Calculation 7 2 7" xfId="1755"/>
    <cellStyle name="Calculation 7 2 8" xfId="1858"/>
    <cellStyle name="Calculation 7 2 9" xfId="1961"/>
    <cellStyle name="Calculation 7 20" xfId="1497"/>
    <cellStyle name="Calculation 7 21" xfId="1602"/>
    <cellStyle name="Calculation 7 22" xfId="1705"/>
    <cellStyle name="Calculation 7 23" xfId="1808"/>
    <cellStyle name="Calculation 7 24" xfId="1908"/>
    <cellStyle name="Calculation 7 3" xfId="484"/>
    <cellStyle name="Calculation 7 3 2" xfId="2020"/>
    <cellStyle name="Calculation 7 4" xfId="471"/>
    <cellStyle name="Calculation 7 4 2" xfId="2079"/>
    <cellStyle name="Calculation 7 5" xfId="628"/>
    <cellStyle name="Calculation 7 5 2" xfId="2196"/>
    <cellStyle name="Calculation 7 6" xfId="615"/>
    <cellStyle name="Calculation 7 6 2" xfId="2183"/>
    <cellStyle name="Calculation 7 7" xfId="637"/>
    <cellStyle name="Calculation 7 7 2" xfId="2391"/>
    <cellStyle name="Calculation 7 8" xfId="606"/>
    <cellStyle name="Calculation 7 8 2" xfId="2352"/>
    <cellStyle name="Calculation 7 9" xfId="646"/>
    <cellStyle name="Calculation 7 9 2" xfId="2501"/>
    <cellStyle name="Calculation 8" xfId="234"/>
    <cellStyle name="Calculation 8 10" xfId="596"/>
    <cellStyle name="Calculation 8 10 2" xfId="2557"/>
    <cellStyle name="Calculation 8 11" xfId="656"/>
    <cellStyle name="Calculation 8 11 2" xfId="2611"/>
    <cellStyle name="Calculation 8 12" xfId="587"/>
    <cellStyle name="Calculation 8 12 2" xfId="2667"/>
    <cellStyle name="Calculation 8 13" xfId="665"/>
    <cellStyle name="Calculation 8 13 2" xfId="2401"/>
    <cellStyle name="Calculation 8 14" xfId="578"/>
    <cellStyle name="Calculation 8 14 2" xfId="2777"/>
    <cellStyle name="Calculation 8 15" xfId="674"/>
    <cellStyle name="Calculation 8 15 2" xfId="2339"/>
    <cellStyle name="Calculation 8 16" xfId="569"/>
    <cellStyle name="Calculation 8 16 2" xfId="2911"/>
    <cellStyle name="Calculation 8 17" xfId="1204"/>
    <cellStyle name="Calculation 8 17 2" xfId="3017"/>
    <cellStyle name="Calculation 8 18" xfId="1302"/>
    <cellStyle name="Calculation 8 18 2" xfId="2862"/>
    <cellStyle name="Calculation 8 19" xfId="1400"/>
    <cellStyle name="Calculation 8 2" xfId="422"/>
    <cellStyle name="Calculation 8 2 2" xfId="1254"/>
    <cellStyle name="Calculation 8 2 3" xfId="1352"/>
    <cellStyle name="Calculation 8 2 4" xfId="1450"/>
    <cellStyle name="Calculation 8 2 5" xfId="1548"/>
    <cellStyle name="Calculation 8 2 6" xfId="1653"/>
    <cellStyle name="Calculation 8 2 7" xfId="1756"/>
    <cellStyle name="Calculation 8 2 8" xfId="1859"/>
    <cellStyle name="Calculation 8 2 9" xfId="1962"/>
    <cellStyle name="Calculation 8 20" xfId="1498"/>
    <cellStyle name="Calculation 8 21" xfId="1603"/>
    <cellStyle name="Calculation 8 22" xfId="1706"/>
    <cellStyle name="Calculation 8 23" xfId="1809"/>
    <cellStyle name="Calculation 8 24" xfId="1909"/>
    <cellStyle name="Calculation 8 3" xfId="485"/>
    <cellStyle name="Calculation 8 3 2" xfId="2021"/>
    <cellStyle name="Calculation 8 4" xfId="470"/>
    <cellStyle name="Calculation 8 4 2" xfId="2080"/>
    <cellStyle name="Calculation 8 5" xfId="629"/>
    <cellStyle name="Calculation 8 5 2" xfId="2197"/>
    <cellStyle name="Calculation 8 6" xfId="614"/>
    <cellStyle name="Calculation 8 6 2" xfId="2182"/>
    <cellStyle name="Calculation 8 7" xfId="638"/>
    <cellStyle name="Calculation 8 7 2" xfId="2392"/>
    <cellStyle name="Calculation 8 8" xfId="605"/>
    <cellStyle name="Calculation 8 8 2" xfId="2351"/>
    <cellStyle name="Calculation 8 9" xfId="647"/>
    <cellStyle name="Calculation 8 9 2" xfId="2502"/>
    <cellStyle name="Calculation 9" xfId="235"/>
    <cellStyle name="Calculation 9 10" xfId="595"/>
    <cellStyle name="Calculation 9 10 2" xfId="2558"/>
    <cellStyle name="Calculation 9 11" xfId="657"/>
    <cellStyle name="Calculation 9 11 2" xfId="2612"/>
    <cellStyle name="Calculation 9 12" xfId="586"/>
    <cellStyle name="Calculation 9 12 2" xfId="2668"/>
    <cellStyle name="Calculation 9 13" xfId="666"/>
    <cellStyle name="Calculation 9 13 2" xfId="2402"/>
    <cellStyle name="Calculation 9 14" xfId="577"/>
    <cellStyle name="Calculation 9 14 2" xfId="2831"/>
    <cellStyle name="Calculation 9 15" xfId="675"/>
    <cellStyle name="Calculation 9 15 2" xfId="2363"/>
    <cellStyle name="Calculation 9 16" xfId="568"/>
    <cellStyle name="Calculation 9 16 2" xfId="2912"/>
    <cellStyle name="Calculation 9 17" xfId="1205"/>
    <cellStyle name="Calculation 9 17 2" xfId="2996"/>
    <cellStyle name="Calculation 9 18" xfId="1303"/>
    <cellStyle name="Calculation 9 18 2" xfId="2881"/>
    <cellStyle name="Calculation 9 19" xfId="1401"/>
    <cellStyle name="Calculation 9 2" xfId="423"/>
    <cellStyle name="Calculation 9 2 2" xfId="1255"/>
    <cellStyle name="Calculation 9 2 3" xfId="1353"/>
    <cellStyle name="Calculation 9 2 4" xfId="1451"/>
    <cellStyle name="Calculation 9 2 5" xfId="1549"/>
    <cellStyle name="Calculation 9 2 6" xfId="1654"/>
    <cellStyle name="Calculation 9 2 7" xfId="1757"/>
    <cellStyle name="Calculation 9 2 8" xfId="1860"/>
    <cellStyle name="Calculation 9 2 9" xfId="1963"/>
    <cellStyle name="Calculation 9 20" xfId="1499"/>
    <cellStyle name="Calculation 9 21" xfId="1604"/>
    <cellStyle name="Calculation 9 22" xfId="1707"/>
    <cellStyle name="Calculation 9 23" xfId="1810"/>
    <cellStyle name="Calculation 9 24" xfId="1910"/>
    <cellStyle name="Calculation 9 3" xfId="486"/>
    <cellStyle name="Calculation 9 3 2" xfId="2022"/>
    <cellStyle name="Calculation 9 4" xfId="469"/>
    <cellStyle name="Calculation 9 4 2" xfId="2081"/>
    <cellStyle name="Calculation 9 5" xfId="630"/>
    <cellStyle name="Calculation 9 5 2" xfId="2198"/>
    <cellStyle name="Calculation 9 6" xfId="613"/>
    <cellStyle name="Calculation 9 6 2" xfId="2181"/>
    <cellStyle name="Calculation 9 7" xfId="639"/>
    <cellStyle name="Calculation 9 7 2" xfId="2393"/>
    <cellStyle name="Calculation 9 8" xfId="604"/>
    <cellStyle name="Calculation 9 8 2" xfId="2350"/>
    <cellStyle name="Calculation 9 9" xfId="648"/>
    <cellStyle name="Calculation 9 9 2" xfId="2503"/>
    <cellStyle name="Check Cell 10" xfId="236"/>
    <cellStyle name="Check Cell 2" xfId="237"/>
    <cellStyle name="Check Cell 3" xfId="238"/>
    <cellStyle name="Check Cell 4" xfId="239"/>
    <cellStyle name="Check Cell 5" xfId="240"/>
    <cellStyle name="Check Cell 6" xfId="241"/>
    <cellStyle name="Check Cell 7" xfId="242"/>
    <cellStyle name="Check Cell 8" xfId="243"/>
    <cellStyle name="Check Cell 9" xfId="244"/>
    <cellStyle name="Explanatory Text 10" xfId="245"/>
    <cellStyle name="Explanatory Text 2" xfId="246"/>
    <cellStyle name="Explanatory Text 3" xfId="247"/>
    <cellStyle name="Explanatory Text 4" xfId="248"/>
    <cellStyle name="Explanatory Text 5" xfId="249"/>
    <cellStyle name="Explanatory Text 6" xfId="250"/>
    <cellStyle name="Explanatory Text 7" xfId="251"/>
    <cellStyle name="Explanatory Text 8" xfId="252"/>
    <cellStyle name="Explanatory Text 9" xfId="253"/>
    <cellStyle name="Good 10" xfId="254"/>
    <cellStyle name="Good 2" xfId="255"/>
    <cellStyle name="Good 3" xfId="256"/>
    <cellStyle name="Good 4" xfId="257"/>
    <cellStyle name="Good 5" xfId="258"/>
    <cellStyle name="Good 6" xfId="259"/>
    <cellStyle name="Good 7" xfId="260"/>
    <cellStyle name="Good 8" xfId="261"/>
    <cellStyle name="Good 9" xfId="262"/>
    <cellStyle name="Heading 1 10" xfId="263"/>
    <cellStyle name="Heading 1 2" xfId="264"/>
    <cellStyle name="Heading 1 3" xfId="265"/>
    <cellStyle name="Heading 1 4" xfId="266"/>
    <cellStyle name="Heading 1 5" xfId="267"/>
    <cellStyle name="Heading 1 6" xfId="268"/>
    <cellStyle name="Heading 1 7" xfId="269"/>
    <cellStyle name="Heading 1 8" xfId="270"/>
    <cellStyle name="Heading 1 9" xfId="271"/>
    <cellStyle name="Heading 2 10" xfId="272"/>
    <cellStyle name="Heading 2 2" xfId="273"/>
    <cellStyle name="Heading 2 3" xfId="274"/>
    <cellStyle name="Heading 2 4" xfId="275"/>
    <cellStyle name="Heading 2 5" xfId="276"/>
    <cellStyle name="Heading 2 6" xfId="277"/>
    <cellStyle name="Heading 2 7" xfId="278"/>
    <cellStyle name="Heading 2 8" xfId="279"/>
    <cellStyle name="Heading 2 9" xfId="280"/>
    <cellStyle name="Heading 3 10" xfId="281"/>
    <cellStyle name="Heading 3 2" xfId="282"/>
    <cellStyle name="Heading 3 3" xfId="283"/>
    <cellStyle name="Heading 3 4" xfId="284"/>
    <cellStyle name="Heading 3 5" xfId="285"/>
    <cellStyle name="Heading 3 6" xfId="286"/>
    <cellStyle name="Heading 3 7" xfId="287"/>
    <cellStyle name="Heading 3 8" xfId="288"/>
    <cellStyle name="Heading 3 9" xfId="289"/>
    <cellStyle name="Heading 4 10" xfId="290"/>
    <cellStyle name="Heading 4 2" xfId="291"/>
    <cellStyle name="Heading 4 3" xfId="292"/>
    <cellStyle name="Heading 4 4" xfId="293"/>
    <cellStyle name="Heading 4 5" xfId="294"/>
    <cellStyle name="Heading 4 6" xfId="295"/>
    <cellStyle name="Heading 4 7" xfId="296"/>
    <cellStyle name="Heading 4 8" xfId="297"/>
    <cellStyle name="Heading 4 9" xfId="298"/>
    <cellStyle name="Input 10" xfId="299"/>
    <cellStyle name="Input 10 10" xfId="748"/>
    <cellStyle name="Input 10 10 2" xfId="2559"/>
    <cellStyle name="Input 10 11" xfId="784"/>
    <cellStyle name="Input 10 11 2" xfId="2613"/>
    <cellStyle name="Input 10 12" xfId="820"/>
    <cellStyle name="Input 10 12 2" xfId="2669"/>
    <cellStyle name="Input 10 13" xfId="856"/>
    <cellStyle name="Input 10 13 2" xfId="2421"/>
    <cellStyle name="Input 10 14" xfId="892"/>
    <cellStyle name="Input 10 14 2" xfId="2411"/>
    <cellStyle name="Input 10 15" xfId="928"/>
    <cellStyle name="Input 10 15 2" xfId="2714"/>
    <cellStyle name="Input 10 16" xfId="964"/>
    <cellStyle name="Input 10 16 2" xfId="2931"/>
    <cellStyle name="Input 10 17" xfId="1206"/>
    <cellStyle name="Input 10 17 2" xfId="2922"/>
    <cellStyle name="Input 10 18" xfId="1304"/>
    <cellStyle name="Input 10 18 2" xfId="2923"/>
    <cellStyle name="Input 10 19" xfId="1402"/>
    <cellStyle name="Input 10 2" xfId="424"/>
    <cellStyle name="Input 10 2 2" xfId="1256"/>
    <cellStyle name="Input 10 2 3" xfId="1354"/>
    <cellStyle name="Input 10 2 4" xfId="1452"/>
    <cellStyle name="Input 10 2 5" xfId="1550"/>
    <cellStyle name="Input 10 2 6" xfId="1655"/>
    <cellStyle name="Input 10 2 7" xfId="1758"/>
    <cellStyle name="Input 10 2 8" xfId="1861"/>
    <cellStyle name="Input 10 2 9" xfId="1964"/>
    <cellStyle name="Input 10 20" xfId="1500"/>
    <cellStyle name="Input 10 21" xfId="1605"/>
    <cellStyle name="Input 10 22" xfId="1708"/>
    <cellStyle name="Input 10 23" xfId="1811"/>
    <cellStyle name="Input 10 24" xfId="1911"/>
    <cellStyle name="Input 10 3" xfId="487"/>
    <cellStyle name="Input 10 3 2" xfId="2023"/>
    <cellStyle name="Input 10 4" xfId="468"/>
    <cellStyle name="Input 10 4 2" xfId="2082"/>
    <cellStyle name="Input 10 5" xfId="676"/>
    <cellStyle name="Input 10 5 2" xfId="2199"/>
    <cellStyle name="Input 10 6" xfId="567"/>
    <cellStyle name="Input 10 6 2" xfId="2180"/>
    <cellStyle name="Input 10 7" xfId="685"/>
    <cellStyle name="Input 10 7 2" xfId="2412"/>
    <cellStyle name="Input 10 8" xfId="558"/>
    <cellStyle name="Input 10 8 2" xfId="2337"/>
    <cellStyle name="Input 10 9" xfId="712"/>
    <cellStyle name="Input 10 9 2" xfId="2504"/>
    <cellStyle name="Input 2" xfId="300"/>
    <cellStyle name="Input 2 10" xfId="749"/>
    <cellStyle name="Input 2 10 2" xfId="2560"/>
    <cellStyle name="Input 2 11" xfId="785"/>
    <cellStyle name="Input 2 11 2" xfId="2614"/>
    <cellStyle name="Input 2 12" xfId="821"/>
    <cellStyle name="Input 2 12 2" xfId="2670"/>
    <cellStyle name="Input 2 13" xfId="857"/>
    <cellStyle name="Input 2 13 2" xfId="2422"/>
    <cellStyle name="Input 2 14" xfId="893"/>
    <cellStyle name="Input 2 14 2" xfId="2410"/>
    <cellStyle name="Input 2 15" xfId="929"/>
    <cellStyle name="Input 2 15 2" xfId="2775"/>
    <cellStyle name="Input 2 16" xfId="965"/>
    <cellStyle name="Input 2 16 2" xfId="2932"/>
    <cellStyle name="Input 2 17" xfId="1207"/>
    <cellStyle name="Input 2 17 2" xfId="2921"/>
    <cellStyle name="Input 2 18" xfId="1305"/>
    <cellStyle name="Input 2 18 2" xfId="2924"/>
    <cellStyle name="Input 2 19" xfId="1403"/>
    <cellStyle name="Input 2 2" xfId="425"/>
    <cellStyle name="Input 2 2 2" xfId="1257"/>
    <cellStyle name="Input 2 2 3" xfId="1355"/>
    <cellStyle name="Input 2 2 4" xfId="1453"/>
    <cellStyle name="Input 2 2 5" xfId="1551"/>
    <cellStyle name="Input 2 2 6" xfId="1656"/>
    <cellStyle name="Input 2 2 7" xfId="1759"/>
    <cellStyle name="Input 2 2 8" xfId="1862"/>
    <cellStyle name="Input 2 2 9" xfId="1965"/>
    <cellStyle name="Input 2 20" xfId="1501"/>
    <cellStyle name="Input 2 21" xfId="1606"/>
    <cellStyle name="Input 2 22" xfId="1709"/>
    <cellStyle name="Input 2 23" xfId="1812"/>
    <cellStyle name="Input 2 24" xfId="1912"/>
    <cellStyle name="Input 2 3" xfId="488"/>
    <cellStyle name="Input 2 3 2" xfId="2024"/>
    <cellStyle name="Input 2 4" xfId="467"/>
    <cellStyle name="Input 2 4 2" xfId="2083"/>
    <cellStyle name="Input 2 5" xfId="677"/>
    <cellStyle name="Input 2 5 2" xfId="2200"/>
    <cellStyle name="Input 2 6" xfId="566"/>
    <cellStyle name="Input 2 6 2" xfId="2179"/>
    <cellStyle name="Input 2 7" xfId="686"/>
    <cellStyle name="Input 2 7 2" xfId="2413"/>
    <cellStyle name="Input 2 8" xfId="557"/>
    <cellStyle name="Input 2 8 2" xfId="2336"/>
    <cellStyle name="Input 2 9" xfId="713"/>
    <cellStyle name="Input 2 9 2" xfId="2505"/>
    <cellStyle name="Input 3" xfId="301"/>
    <cellStyle name="Input 3 10" xfId="750"/>
    <cellStyle name="Input 3 10 2" xfId="2561"/>
    <cellStyle name="Input 3 11" xfId="786"/>
    <cellStyle name="Input 3 11 2" xfId="2615"/>
    <cellStyle name="Input 3 12" xfId="822"/>
    <cellStyle name="Input 3 12 2" xfId="2671"/>
    <cellStyle name="Input 3 13" xfId="858"/>
    <cellStyle name="Input 3 13 2" xfId="2423"/>
    <cellStyle name="Input 3 14" xfId="894"/>
    <cellStyle name="Input 3 14 2" xfId="2409"/>
    <cellStyle name="Input 3 15" xfId="930"/>
    <cellStyle name="Input 3 15 2" xfId="2799"/>
    <cellStyle name="Input 3 16" xfId="966"/>
    <cellStyle name="Input 3 16 2" xfId="2933"/>
    <cellStyle name="Input 3 17" xfId="1208"/>
    <cellStyle name="Input 3 17 2" xfId="2920"/>
    <cellStyle name="Input 3 18" xfId="1306"/>
    <cellStyle name="Input 3 18 2" xfId="2925"/>
    <cellStyle name="Input 3 19" xfId="1404"/>
    <cellStyle name="Input 3 2" xfId="426"/>
    <cellStyle name="Input 3 2 2" xfId="1258"/>
    <cellStyle name="Input 3 2 3" xfId="1356"/>
    <cellStyle name="Input 3 2 4" xfId="1454"/>
    <cellStyle name="Input 3 2 5" xfId="1552"/>
    <cellStyle name="Input 3 2 6" xfId="1657"/>
    <cellStyle name="Input 3 2 7" xfId="1760"/>
    <cellStyle name="Input 3 2 8" xfId="1863"/>
    <cellStyle name="Input 3 2 9" xfId="1966"/>
    <cellStyle name="Input 3 20" xfId="1502"/>
    <cellStyle name="Input 3 21" xfId="1607"/>
    <cellStyle name="Input 3 22" xfId="1710"/>
    <cellStyle name="Input 3 23" xfId="1813"/>
    <cellStyle name="Input 3 24" xfId="1913"/>
    <cellStyle name="Input 3 3" xfId="489"/>
    <cellStyle name="Input 3 3 2" xfId="2025"/>
    <cellStyle name="Input 3 4" xfId="466"/>
    <cellStyle name="Input 3 4 2" xfId="2084"/>
    <cellStyle name="Input 3 5" xfId="678"/>
    <cellStyle name="Input 3 5 2" xfId="2201"/>
    <cellStyle name="Input 3 6" xfId="565"/>
    <cellStyle name="Input 3 6 2" xfId="2178"/>
    <cellStyle name="Input 3 7" xfId="687"/>
    <cellStyle name="Input 3 7 2" xfId="2414"/>
    <cellStyle name="Input 3 8" xfId="556"/>
    <cellStyle name="Input 3 8 2" xfId="2335"/>
    <cellStyle name="Input 3 9" xfId="714"/>
    <cellStyle name="Input 3 9 2" xfId="2506"/>
    <cellStyle name="Input 4" xfId="302"/>
    <cellStyle name="Input 4 10" xfId="751"/>
    <cellStyle name="Input 4 10 2" xfId="2562"/>
    <cellStyle name="Input 4 11" xfId="787"/>
    <cellStyle name="Input 4 11 2" xfId="2616"/>
    <cellStyle name="Input 4 12" xfId="823"/>
    <cellStyle name="Input 4 12 2" xfId="2672"/>
    <cellStyle name="Input 4 13" xfId="859"/>
    <cellStyle name="Input 4 13 2" xfId="2424"/>
    <cellStyle name="Input 4 14" xfId="895"/>
    <cellStyle name="Input 4 14 2" xfId="2408"/>
    <cellStyle name="Input 4 15" xfId="931"/>
    <cellStyle name="Input 4 15 2" xfId="2814"/>
    <cellStyle name="Input 4 16" xfId="967"/>
    <cellStyle name="Input 4 16 2" xfId="2934"/>
    <cellStyle name="Input 4 17" xfId="1209"/>
    <cellStyle name="Input 4 17 2" xfId="2919"/>
    <cellStyle name="Input 4 18" xfId="1307"/>
    <cellStyle name="Input 4 18 2" xfId="2926"/>
    <cellStyle name="Input 4 19" xfId="1405"/>
    <cellStyle name="Input 4 2" xfId="427"/>
    <cellStyle name="Input 4 2 2" xfId="1259"/>
    <cellStyle name="Input 4 2 3" xfId="1357"/>
    <cellStyle name="Input 4 2 4" xfId="1455"/>
    <cellStyle name="Input 4 2 5" xfId="1553"/>
    <cellStyle name="Input 4 2 6" xfId="1658"/>
    <cellStyle name="Input 4 2 7" xfId="1761"/>
    <cellStyle name="Input 4 2 8" xfId="1864"/>
    <cellStyle name="Input 4 2 9" xfId="1967"/>
    <cellStyle name="Input 4 20" xfId="1503"/>
    <cellStyle name="Input 4 21" xfId="1608"/>
    <cellStyle name="Input 4 22" xfId="1711"/>
    <cellStyle name="Input 4 23" xfId="1814"/>
    <cellStyle name="Input 4 24" xfId="1914"/>
    <cellStyle name="Input 4 3" xfId="490"/>
    <cellStyle name="Input 4 3 2" xfId="2026"/>
    <cellStyle name="Input 4 4" xfId="465"/>
    <cellStyle name="Input 4 4 2" xfId="2085"/>
    <cellStyle name="Input 4 5" xfId="679"/>
    <cellStyle name="Input 4 5 2" xfId="2202"/>
    <cellStyle name="Input 4 6" xfId="564"/>
    <cellStyle name="Input 4 6 2" xfId="2177"/>
    <cellStyle name="Input 4 7" xfId="688"/>
    <cellStyle name="Input 4 7 2" xfId="2415"/>
    <cellStyle name="Input 4 8" xfId="555"/>
    <cellStyle name="Input 4 8 2" xfId="2334"/>
    <cellStyle name="Input 4 9" xfId="715"/>
    <cellStyle name="Input 4 9 2" xfId="2507"/>
    <cellStyle name="Input 5" xfId="303"/>
    <cellStyle name="Input 5 10" xfId="752"/>
    <cellStyle name="Input 5 10 2" xfId="2563"/>
    <cellStyle name="Input 5 11" xfId="788"/>
    <cellStyle name="Input 5 11 2" xfId="2617"/>
    <cellStyle name="Input 5 12" xfId="824"/>
    <cellStyle name="Input 5 12 2" xfId="2673"/>
    <cellStyle name="Input 5 13" xfId="860"/>
    <cellStyle name="Input 5 13 2" xfId="2425"/>
    <cellStyle name="Input 5 14" xfId="896"/>
    <cellStyle name="Input 5 14 2" xfId="2407"/>
    <cellStyle name="Input 5 15" xfId="932"/>
    <cellStyle name="Input 5 15 2" xfId="2829"/>
    <cellStyle name="Input 5 16" xfId="968"/>
    <cellStyle name="Input 5 16 2" xfId="2935"/>
    <cellStyle name="Input 5 17" xfId="1210"/>
    <cellStyle name="Input 5 17 2" xfId="2918"/>
    <cellStyle name="Input 5 18" xfId="1308"/>
    <cellStyle name="Input 5 18 2" xfId="2927"/>
    <cellStyle name="Input 5 19" xfId="1406"/>
    <cellStyle name="Input 5 2" xfId="428"/>
    <cellStyle name="Input 5 2 2" xfId="1260"/>
    <cellStyle name="Input 5 2 3" xfId="1358"/>
    <cellStyle name="Input 5 2 4" xfId="1456"/>
    <cellStyle name="Input 5 2 5" xfId="1554"/>
    <cellStyle name="Input 5 2 6" xfId="1659"/>
    <cellStyle name="Input 5 2 7" xfId="1762"/>
    <cellStyle name="Input 5 2 8" xfId="1865"/>
    <cellStyle name="Input 5 2 9" xfId="1968"/>
    <cellStyle name="Input 5 20" xfId="1504"/>
    <cellStyle name="Input 5 21" xfId="1609"/>
    <cellStyle name="Input 5 22" xfId="1712"/>
    <cellStyle name="Input 5 23" xfId="1815"/>
    <cellStyle name="Input 5 24" xfId="1915"/>
    <cellStyle name="Input 5 3" xfId="491"/>
    <cellStyle name="Input 5 3 2" xfId="2027"/>
    <cellStyle name="Input 5 4" xfId="464"/>
    <cellStyle name="Input 5 4 2" xfId="2086"/>
    <cellStyle name="Input 5 5" xfId="680"/>
    <cellStyle name="Input 5 5 2" xfId="2203"/>
    <cellStyle name="Input 5 6" xfId="563"/>
    <cellStyle name="Input 5 6 2" xfId="2176"/>
    <cellStyle name="Input 5 7" xfId="689"/>
    <cellStyle name="Input 5 7 2" xfId="2416"/>
    <cellStyle name="Input 5 8" xfId="554"/>
    <cellStyle name="Input 5 8 2" xfId="2333"/>
    <cellStyle name="Input 5 9" xfId="716"/>
    <cellStyle name="Input 5 9 2" xfId="2508"/>
    <cellStyle name="Input 6" xfId="304"/>
    <cellStyle name="Input 6 10" xfId="762"/>
    <cellStyle name="Input 6 10 2" xfId="2564"/>
    <cellStyle name="Input 6 11" xfId="798"/>
    <cellStyle name="Input 6 11 2" xfId="2618"/>
    <cellStyle name="Input 6 12" xfId="834"/>
    <cellStyle name="Input 6 12 2" xfId="2674"/>
    <cellStyle name="Input 6 13" xfId="870"/>
    <cellStyle name="Input 6 13 2" xfId="2426"/>
    <cellStyle name="Input 6 14" xfId="906"/>
    <cellStyle name="Input 6 14 2" xfId="2406"/>
    <cellStyle name="Input 6 15" xfId="942"/>
    <cellStyle name="Input 6 15 2" xfId="2776"/>
    <cellStyle name="Input 6 16" xfId="978"/>
    <cellStyle name="Input 6 16 2" xfId="2936"/>
    <cellStyle name="Input 6 17" xfId="1211"/>
    <cellStyle name="Input 6 17 2" xfId="2917"/>
    <cellStyle name="Input 6 18" xfId="1309"/>
    <cellStyle name="Input 6 18 2" xfId="2928"/>
    <cellStyle name="Input 6 19" xfId="1407"/>
    <cellStyle name="Input 6 2" xfId="429"/>
    <cellStyle name="Input 6 2 2" xfId="1261"/>
    <cellStyle name="Input 6 2 3" xfId="1359"/>
    <cellStyle name="Input 6 2 4" xfId="1457"/>
    <cellStyle name="Input 6 2 5" xfId="1555"/>
    <cellStyle name="Input 6 2 6" xfId="1660"/>
    <cellStyle name="Input 6 2 7" xfId="1763"/>
    <cellStyle name="Input 6 2 8" xfId="1866"/>
    <cellStyle name="Input 6 2 9" xfId="1969"/>
    <cellStyle name="Input 6 20" xfId="1505"/>
    <cellStyle name="Input 6 21" xfId="1610"/>
    <cellStyle name="Input 6 22" xfId="1713"/>
    <cellStyle name="Input 6 23" xfId="1816"/>
    <cellStyle name="Input 6 24" xfId="1916"/>
    <cellStyle name="Input 6 3" xfId="492"/>
    <cellStyle name="Input 6 3 2" xfId="2028"/>
    <cellStyle name="Input 6 4" xfId="463"/>
    <cellStyle name="Input 6 4 2" xfId="2087"/>
    <cellStyle name="Input 6 5" xfId="681"/>
    <cellStyle name="Input 6 5 2" xfId="2204"/>
    <cellStyle name="Input 6 6" xfId="562"/>
    <cellStyle name="Input 6 6 2" xfId="2175"/>
    <cellStyle name="Input 6 7" xfId="690"/>
    <cellStyle name="Input 6 7 2" xfId="2417"/>
    <cellStyle name="Input 6 8" xfId="553"/>
    <cellStyle name="Input 6 8 2" xfId="2332"/>
    <cellStyle name="Input 6 9" xfId="726"/>
    <cellStyle name="Input 6 9 2" xfId="2509"/>
    <cellStyle name="Input 7" xfId="305"/>
    <cellStyle name="Input 7 10" xfId="763"/>
    <cellStyle name="Input 7 10 2" xfId="2565"/>
    <cellStyle name="Input 7 11" xfId="799"/>
    <cellStyle name="Input 7 11 2" xfId="2619"/>
    <cellStyle name="Input 7 12" xfId="835"/>
    <cellStyle name="Input 7 12 2" xfId="2675"/>
    <cellStyle name="Input 7 13" xfId="871"/>
    <cellStyle name="Input 7 13 2" xfId="2427"/>
    <cellStyle name="Input 7 14" xfId="907"/>
    <cellStyle name="Input 7 14 2" xfId="2405"/>
    <cellStyle name="Input 7 15" xfId="943"/>
    <cellStyle name="Input 7 15 2" xfId="2800"/>
    <cellStyle name="Input 7 16" xfId="979"/>
    <cellStyle name="Input 7 16 2" xfId="2937"/>
    <cellStyle name="Input 7 17" xfId="1212"/>
    <cellStyle name="Input 7 17 2" xfId="2916"/>
    <cellStyle name="Input 7 18" xfId="1310"/>
    <cellStyle name="Input 7 18 2" xfId="2929"/>
    <cellStyle name="Input 7 19" xfId="1408"/>
    <cellStyle name="Input 7 2" xfId="430"/>
    <cellStyle name="Input 7 2 2" xfId="1262"/>
    <cellStyle name="Input 7 2 3" xfId="1360"/>
    <cellStyle name="Input 7 2 4" xfId="1458"/>
    <cellStyle name="Input 7 2 5" xfId="1556"/>
    <cellStyle name="Input 7 2 6" xfId="1661"/>
    <cellStyle name="Input 7 2 7" xfId="1764"/>
    <cellStyle name="Input 7 2 8" xfId="1867"/>
    <cellStyle name="Input 7 2 9" xfId="1970"/>
    <cellStyle name="Input 7 20" xfId="1506"/>
    <cellStyle name="Input 7 21" xfId="1611"/>
    <cellStyle name="Input 7 22" xfId="1714"/>
    <cellStyle name="Input 7 23" xfId="1817"/>
    <cellStyle name="Input 7 24" xfId="1917"/>
    <cellStyle name="Input 7 3" xfId="493"/>
    <cellStyle name="Input 7 3 2" xfId="2029"/>
    <cellStyle name="Input 7 4" xfId="462"/>
    <cellStyle name="Input 7 4 2" xfId="2088"/>
    <cellStyle name="Input 7 5" xfId="682"/>
    <cellStyle name="Input 7 5 2" xfId="2205"/>
    <cellStyle name="Input 7 6" xfId="561"/>
    <cellStyle name="Input 7 6 2" xfId="2174"/>
    <cellStyle name="Input 7 7" xfId="691"/>
    <cellStyle name="Input 7 7 2" xfId="2418"/>
    <cellStyle name="Input 7 8" xfId="552"/>
    <cellStyle name="Input 7 8 2" xfId="2331"/>
    <cellStyle name="Input 7 9" xfId="727"/>
    <cellStyle name="Input 7 9 2" xfId="2510"/>
    <cellStyle name="Input 8" xfId="306"/>
    <cellStyle name="Input 8 10" xfId="764"/>
    <cellStyle name="Input 8 10 2" xfId="2566"/>
    <cellStyle name="Input 8 11" xfId="800"/>
    <cellStyle name="Input 8 11 2" xfId="2620"/>
    <cellStyle name="Input 8 12" xfId="836"/>
    <cellStyle name="Input 8 12 2" xfId="2676"/>
    <cellStyle name="Input 8 13" xfId="872"/>
    <cellStyle name="Input 8 13 2" xfId="2428"/>
    <cellStyle name="Input 8 14" xfId="908"/>
    <cellStyle name="Input 8 14 2" xfId="2404"/>
    <cellStyle name="Input 8 15" xfId="944"/>
    <cellStyle name="Input 8 15 2" xfId="2815"/>
    <cellStyle name="Input 8 16" xfId="980"/>
    <cellStyle name="Input 8 16 2" xfId="2938"/>
    <cellStyle name="Input 8 17" xfId="1213"/>
    <cellStyle name="Input 8 17 2" xfId="2915"/>
    <cellStyle name="Input 8 18" xfId="1311"/>
    <cellStyle name="Input 8 18 2" xfId="2930"/>
    <cellStyle name="Input 8 19" xfId="1409"/>
    <cellStyle name="Input 8 2" xfId="431"/>
    <cellStyle name="Input 8 2 2" xfId="1263"/>
    <cellStyle name="Input 8 2 3" xfId="1361"/>
    <cellStyle name="Input 8 2 4" xfId="1459"/>
    <cellStyle name="Input 8 2 5" xfId="1557"/>
    <cellStyle name="Input 8 2 6" xfId="1662"/>
    <cellStyle name="Input 8 2 7" xfId="1765"/>
    <cellStyle name="Input 8 2 8" xfId="1868"/>
    <cellStyle name="Input 8 2 9" xfId="1971"/>
    <cellStyle name="Input 8 20" xfId="1507"/>
    <cellStyle name="Input 8 21" xfId="1612"/>
    <cellStyle name="Input 8 22" xfId="1715"/>
    <cellStyle name="Input 8 23" xfId="1818"/>
    <cellStyle name="Input 8 24" xfId="1918"/>
    <cellStyle name="Input 8 3" xfId="494"/>
    <cellStyle name="Input 8 3 2" xfId="2030"/>
    <cellStyle name="Input 8 4" xfId="461"/>
    <cellStyle name="Input 8 4 2" xfId="2089"/>
    <cellStyle name="Input 8 5" xfId="683"/>
    <cellStyle name="Input 8 5 2" xfId="2206"/>
    <cellStyle name="Input 8 6" xfId="560"/>
    <cellStyle name="Input 8 6 2" xfId="2173"/>
    <cellStyle name="Input 8 7" xfId="692"/>
    <cellStyle name="Input 8 7 2" xfId="2419"/>
    <cellStyle name="Input 8 8" xfId="551"/>
    <cellStyle name="Input 8 8 2" xfId="2330"/>
    <cellStyle name="Input 8 9" xfId="728"/>
    <cellStyle name="Input 8 9 2" xfId="2511"/>
    <cellStyle name="Input 9" xfId="307"/>
    <cellStyle name="Input 9 10" xfId="765"/>
    <cellStyle name="Input 9 10 2" xfId="2567"/>
    <cellStyle name="Input 9 11" xfId="801"/>
    <cellStyle name="Input 9 11 2" xfId="2621"/>
    <cellStyle name="Input 9 12" xfId="837"/>
    <cellStyle name="Input 9 12 2" xfId="2677"/>
    <cellStyle name="Input 9 13" xfId="873"/>
    <cellStyle name="Input 9 13 2" xfId="2429"/>
    <cellStyle name="Input 9 14" xfId="909"/>
    <cellStyle name="Input 9 14 2" xfId="2403"/>
    <cellStyle name="Input 9 15" xfId="945"/>
    <cellStyle name="Input 9 15 2" xfId="2830"/>
    <cellStyle name="Input 9 16" xfId="981"/>
    <cellStyle name="Input 9 16 2" xfId="2939"/>
    <cellStyle name="Input 9 17" xfId="1214"/>
    <cellStyle name="Input 9 17 2" xfId="2914"/>
    <cellStyle name="Input 9 18" xfId="1312"/>
    <cellStyle name="Input 9 18 2" xfId="2995"/>
    <cellStyle name="Input 9 19" xfId="1410"/>
    <cellStyle name="Input 9 2" xfId="432"/>
    <cellStyle name="Input 9 2 2" xfId="1264"/>
    <cellStyle name="Input 9 2 3" xfId="1362"/>
    <cellStyle name="Input 9 2 4" xfId="1460"/>
    <cellStyle name="Input 9 2 5" xfId="1558"/>
    <cellStyle name="Input 9 2 6" xfId="1663"/>
    <cellStyle name="Input 9 2 7" xfId="1766"/>
    <cellStyle name="Input 9 2 8" xfId="1869"/>
    <cellStyle name="Input 9 2 9" xfId="1972"/>
    <cellStyle name="Input 9 20" xfId="1508"/>
    <cellStyle name="Input 9 21" xfId="1613"/>
    <cellStyle name="Input 9 22" xfId="1716"/>
    <cellStyle name="Input 9 23" xfId="1819"/>
    <cellStyle name="Input 9 24" xfId="1919"/>
    <cellStyle name="Input 9 3" xfId="495"/>
    <cellStyle name="Input 9 3 2" xfId="2031"/>
    <cellStyle name="Input 9 4" xfId="460"/>
    <cellStyle name="Input 9 4 2" xfId="2090"/>
    <cellStyle name="Input 9 5" xfId="684"/>
    <cellStyle name="Input 9 5 2" xfId="2207"/>
    <cellStyle name="Input 9 6" xfId="559"/>
    <cellStyle name="Input 9 6 2" xfId="2172"/>
    <cellStyle name="Input 9 7" xfId="693"/>
    <cellStyle name="Input 9 7 2" xfId="2420"/>
    <cellStyle name="Input 9 8" xfId="550"/>
    <cellStyle name="Input 9 8 2" xfId="2329"/>
    <cellStyle name="Input 9 9" xfId="729"/>
    <cellStyle name="Input 9 9 2" xfId="2512"/>
    <cellStyle name="Linked Cell 10" xfId="308"/>
    <cellStyle name="Linked Cell 2" xfId="309"/>
    <cellStyle name="Linked Cell 3" xfId="310"/>
    <cellStyle name="Linked Cell 4" xfId="311"/>
    <cellStyle name="Linked Cell 5" xfId="312"/>
    <cellStyle name="Linked Cell 6" xfId="313"/>
    <cellStyle name="Linked Cell 7" xfId="314"/>
    <cellStyle name="Linked Cell 8" xfId="315"/>
    <cellStyle name="Linked Cell 9" xfId="316"/>
    <cellStyle name="Neutral 10" xfId="317"/>
    <cellStyle name="Neutral 2" xfId="318"/>
    <cellStyle name="Neutral 3" xfId="319"/>
    <cellStyle name="Neutral 4" xfId="320"/>
    <cellStyle name="Neutral 5" xfId="321"/>
    <cellStyle name="Neutral 6" xfId="322"/>
    <cellStyle name="Neutral 7" xfId="323"/>
    <cellStyle name="Neutral 8" xfId="324"/>
    <cellStyle name="Neutral 9" xfId="325"/>
    <cellStyle name="Normal" xfId="0" builtinId="0"/>
    <cellStyle name="Normal 10" xfId="2013"/>
    <cellStyle name="Normal 11" xfId="2072"/>
    <cellStyle name="Normal 12" xfId="2119"/>
    <cellStyle name="Normal 13" xfId="2142"/>
    <cellStyle name="Normal 13 2" xfId="2270"/>
    <cellStyle name="Normal 14" xfId="2241"/>
    <cellStyle name="Normal 15" xfId="2848"/>
    <cellStyle name="Normal 17" xfId="2894"/>
    <cellStyle name="Normal 18" xfId="2477"/>
    <cellStyle name="Normal 2" xfId="326"/>
    <cellStyle name="Normal 2 10" xfId="2321"/>
    <cellStyle name="Normal 2 11" xfId="2493"/>
    <cellStyle name="Normal 2 12" xfId="2548"/>
    <cellStyle name="Normal 2 13" xfId="2602"/>
    <cellStyle name="Normal 2 14" xfId="2658"/>
    <cellStyle name="Normal 2 15" xfId="2586"/>
    <cellStyle name="Normal 2 16" xfId="2763"/>
    <cellStyle name="Normal 2 17" xfId="2375"/>
    <cellStyle name="Normal 2 18" xfId="2849"/>
    <cellStyle name="Normal 2 19" xfId="2984"/>
    <cellStyle name="Normal 2 2" xfId="1164"/>
    <cellStyle name="Normal 2 2 10" xfId="2273"/>
    <cellStyle name="Normal 2 2 11" xfId="2479"/>
    <cellStyle name="Normal 2 2 12" xfId="2278"/>
    <cellStyle name="Normal 2 2 13" xfId="2534"/>
    <cellStyle name="Normal 2 2 14" xfId="2588"/>
    <cellStyle name="Normal 2 2 15" xfId="2696"/>
    <cellStyle name="Normal 2 2 16" xfId="2762"/>
    <cellStyle name="Normal 2 2 17" xfId="2376"/>
    <cellStyle name="Normal 2 2 18" xfId="2850"/>
    <cellStyle name="Normal 2 2 19" xfId="2983"/>
    <cellStyle name="Normal 2 2 2" xfId="1163"/>
    <cellStyle name="Normal 2 2 2 10" xfId="2480"/>
    <cellStyle name="Normal 2 2 2 11" xfId="2277"/>
    <cellStyle name="Normal 2 2 2 12" xfId="2535"/>
    <cellStyle name="Normal 2 2 2 13" xfId="2589"/>
    <cellStyle name="Normal 2 2 2 14" xfId="2695"/>
    <cellStyle name="Normal 2 2 2 15" xfId="2761"/>
    <cellStyle name="Normal 2 2 2 16" xfId="2377"/>
    <cellStyle name="Normal 2 2 2 17" xfId="2851"/>
    <cellStyle name="Normal 2 2 2 18" xfId="2982"/>
    <cellStyle name="Normal 2 2 2 19" xfId="2942"/>
    <cellStyle name="Normal 2 2 2 2" xfId="1171"/>
    <cellStyle name="Normal 2 2 2 2 10" xfId="2599"/>
    <cellStyle name="Normal 2 2 2 2 11" xfId="2655"/>
    <cellStyle name="Normal 2 2 2 2 12" xfId="2706"/>
    <cellStyle name="Normal 2 2 2 2 13" xfId="2745"/>
    <cellStyle name="Normal 2 2 2 2 14" xfId="2766"/>
    <cellStyle name="Normal 2 2 2 2 15" xfId="2371"/>
    <cellStyle name="Normal 2 2 2 2 16" xfId="2486"/>
    <cellStyle name="Normal 2 2 2 2 17" xfId="2987"/>
    <cellStyle name="Normal 2 2 2 2 18" xfId="2891"/>
    <cellStyle name="Normal 2 2 2 2 19" xfId="2947"/>
    <cellStyle name="Normal 2 2 2 2 2" xfId="1172"/>
    <cellStyle name="Normal 2 2 2 2 2 10" xfId="2656"/>
    <cellStyle name="Normal 2 2 2 2 2 11" xfId="2707"/>
    <cellStyle name="Normal 2 2 2 2 2 12" xfId="2746"/>
    <cellStyle name="Normal 2 2 2 2 2 13" xfId="2767"/>
    <cellStyle name="Normal 2 2 2 2 2 14" xfId="2370"/>
    <cellStyle name="Normal 2 2 2 2 2 15" xfId="2793"/>
    <cellStyle name="Normal 2 2 2 2 2 16" xfId="2988"/>
    <cellStyle name="Normal 2 2 2 2 2 17" xfId="2890"/>
    <cellStyle name="Normal 2 2 2 2 2 18" xfId="2948"/>
    <cellStyle name="Normal 2 2 2 2 2 2" xfId="1184"/>
    <cellStyle name="Normal 2 2 2 2 2 2 10" xfId="2700"/>
    <cellStyle name="Normal 2 2 2 2 2 2 11" xfId="2740"/>
    <cellStyle name="Normal 2 2 2 2 2 2 12" xfId="2759"/>
    <cellStyle name="Normal 2 2 2 2 2 2 13" xfId="2785"/>
    <cellStyle name="Normal 2 2 2 2 2 2 14" xfId="2749"/>
    <cellStyle name="Normal 2 2 2 2 2 2 15" xfId="2784"/>
    <cellStyle name="Normal 2 2 2 2 2 2 16" xfId="3003"/>
    <cellStyle name="Normal 2 2 2 2 2 2 17" xfId="2876"/>
    <cellStyle name="Normal 2 2 2 2 2 2 18" xfId="3043"/>
    <cellStyle name="Normal 2 2 2 2 2 2 2" xfId="1185"/>
    <cellStyle name="Normal 2 2 2 2 2 2 2 10" xfId="2701"/>
    <cellStyle name="Normal 2 2 2 2 2 2 2 11" xfId="2741"/>
    <cellStyle name="Normal 2 2 2 2 2 2 2 12" xfId="2760"/>
    <cellStyle name="Normal 2 2 2 2 2 2 2 13" xfId="2786"/>
    <cellStyle name="Normal 2 2 2 2 2 2 2 14" xfId="2750"/>
    <cellStyle name="Normal 2 2 2 2 2 2 2 15" xfId="2806"/>
    <cellStyle name="Normal 2 2 2 2 2 2 2 16" xfId="3004"/>
    <cellStyle name="Normal 2 2 2 2 2 2 2 17" xfId="2875"/>
    <cellStyle name="Normal 2 2 2 2 2 2 2 18" xfId="3020"/>
    <cellStyle name="Normal 2 2 2 2 2 2 2 2" xfId="1195"/>
    <cellStyle name="Normal 2 2 2 2 2 2 2 2 2" xfId="1196"/>
    <cellStyle name="Normal 2 2 2 2 2 2 2 2 2 2" xfId="2140"/>
    <cellStyle name="Normal 2 2 2 2 2 2 2 2 2 2 2" xfId="2141"/>
    <cellStyle name="Normal 2 2 2 2 2 2 2 2 2 2 2 2" xfId="2268"/>
    <cellStyle name="Normal 2 2 2 2 2 2 2 2 2 2 2 2 2" xfId="2269"/>
    <cellStyle name="Normal 2 2 2 2 2 2 2 2 2 2 2 3" xfId="2823"/>
    <cellStyle name="Normal 2 2 2 2 2 2 2 2 2 2 2 4" xfId="2838"/>
    <cellStyle name="Normal 2 2 2 2 2 2 2 2 2 2 2 5" xfId="2847"/>
    <cellStyle name="Normal 2 2 2 2 2 2 2 2 2 2 2 6" xfId="3033"/>
    <cellStyle name="Normal 2 2 2 2 2 2 2 2 2 2 2 7" xfId="3046"/>
    <cellStyle name="Normal 2 2 2 2 2 2 2 2 2 2 3" xfId="2822"/>
    <cellStyle name="Normal 2 2 2 2 2 2 2 2 2 2 4" xfId="2837"/>
    <cellStyle name="Normal 2 2 2 2 2 2 2 2 2 2 5" xfId="2846"/>
    <cellStyle name="Normal 2 2 2 2 2 2 2 2 2 2 6" xfId="3032"/>
    <cellStyle name="Normal 2 2 2 2 2 2 2 2 2 2 7" xfId="3045"/>
    <cellStyle name="Normal 2 2 2 2 2 2 2 2 2 3" xfId="2267"/>
    <cellStyle name="Normal 2 2 2 2 2 2 2 2 2 4" xfId="2792"/>
    <cellStyle name="Normal 2 2 2 2 2 2 2 2 2 5" xfId="2346"/>
    <cellStyle name="Normal 2 2 2 2 2 2 2 2 2 6" xfId="2820"/>
    <cellStyle name="Normal 2 2 2 2 2 2 2 2 2 7" xfId="3010"/>
    <cellStyle name="Normal 2 2 2 2 2 2 2 2 2 8" xfId="2869"/>
    <cellStyle name="Normal 2 2 2 2 2 2 2 2 3" xfId="2011"/>
    <cellStyle name="Normal 2 2 2 2 2 2 2 2 3 2" xfId="2266"/>
    <cellStyle name="Normal 2 2 2 2 2 2 2 2 4" xfId="2791"/>
    <cellStyle name="Normal 2 2 2 2 2 2 2 2 5" xfId="2347"/>
    <cellStyle name="Normal 2 2 2 2 2 2 2 2 6" xfId="2804"/>
    <cellStyle name="Normal 2 2 2 2 2 2 2 2 7" xfId="3009"/>
    <cellStyle name="Normal 2 2 2 2 2 2 2 2 8" xfId="2870"/>
    <cellStyle name="Normal 2 2 2 2 2 2 2 3" xfId="2010"/>
    <cellStyle name="Normal 2 2 2 2 2 2 2 3 2" xfId="2071"/>
    <cellStyle name="Normal 2 2 2 2 2 2 2 4" xfId="2131"/>
    <cellStyle name="Normal 2 2 2 2 2 2 2 5" xfId="2253"/>
    <cellStyle name="Normal 2 2 2 2 2 2 2 6" xfId="2261"/>
    <cellStyle name="Normal 2 2 2 2 2 2 2 7" xfId="2539"/>
    <cellStyle name="Normal 2 2 2 2 2 2 2 8" xfId="2593"/>
    <cellStyle name="Normal 2 2 2 2 2 2 2 9" xfId="2650"/>
    <cellStyle name="Normal 2 2 2 2 2 2 3" xfId="2006"/>
    <cellStyle name="Normal 2 2 2 2 2 2 3 2" xfId="2070"/>
    <cellStyle name="Normal 2 2 2 2 2 2 3 2 2" xfId="2138"/>
    <cellStyle name="Normal 2 2 2 2 2 2 4" xfId="2130"/>
    <cellStyle name="Normal 2 2 2 2 2 2 5" xfId="2252"/>
    <cellStyle name="Normal 2 2 2 2 2 2 6" xfId="2260"/>
    <cellStyle name="Normal 2 2 2 2 2 2 7" xfId="2538"/>
    <cellStyle name="Normal 2 2 2 2 2 2 8" xfId="2592"/>
    <cellStyle name="Normal 2 2 2 2 2 2 9" xfId="2649"/>
    <cellStyle name="Normal 2 2 2 2 2 3" xfId="2005"/>
    <cellStyle name="Normal 2 2 2 2 2 3 2" xfId="2067"/>
    <cellStyle name="Normal 2 2 2 2 2 3 2 2" xfId="2137"/>
    <cellStyle name="Normal 2 2 2 2 2 4" xfId="2127"/>
    <cellStyle name="Normal 2 2 2 2 2 5" xfId="2249"/>
    <cellStyle name="Normal 2 2 2 2 2 6" xfId="2256"/>
    <cellStyle name="Normal 2 2 2 2 2 7" xfId="2491"/>
    <cellStyle name="Normal 2 2 2 2 2 8" xfId="2546"/>
    <cellStyle name="Normal 2 2 2 2 2 9" xfId="2600"/>
    <cellStyle name="Normal 2 2 2 2 3" xfId="1188"/>
    <cellStyle name="Normal 2 2 2 2 4" xfId="1952"/>
    <cellStyle name="Normal 2 2 2 2 4 2" xfId="2066"/>
    <cellStyle name="Normal 2 2 2 2 4 2 2" xfId="2135"/>
    <cellStyle name="Normal 2 2 2 2 5" xfId="2126"/>
    <cellStyle name="Normal 2 2 2 2 6" xfId="2248"/>
    <cellStyle name="Normal 2 2 2 2 7" xfId="2255"/>
    <cellStyle name="Normal 2 2 2 2 8" xfId="2490"/>
    <cellStyle name="Normal 2 2 2 2 9" xfId="2545"/>
    <cellStyle name="Normal 2 2 2 3" xfId="1178"/>
    <cellStyle name="Normal 2 2 2 3 10" xfId="2708"/>
    <cellStyle name="Normal 2 2 2 3 11" xfId="2747"/>
    <cellStyle name="Normal 2 2 2 3 12" xfId="2949"/>
    <cellStyle name="Normal 2 2 2 3 2" xfId="1187"/>
    <cellStyle name="Normal 2 2 2 3 2 10" xfId="2737"/>
    <cellStyle name="Normal 2 2 2 3 2 11" xfId="2756"/>
    <cellStyle name="Normal 2 2 2 3 2 12" xfId="3044"/>
    <cellStyle name="Normal 2 2 2 3 2 2" xfId="1192"/>
    <cellStyle name="Normal 2 2 2 3 2 3" xfId="1293"/>
    <cellStyle name="Normal 2 2 2 3 2 4" xfId="1391"/>
    <cellStyle name="Normal 2 2 2 3 2 5" xfId="1489"/>
    <cellStyle name="Normal 2 2 2 3 2 6" xfId="1587"/>
    <cellStyle name="Normal 2 2 2 3 2 7" xfId="1692"/>
    <cellStyle name="Normal 2 2 2 3 2 8" xfId="1795"/>
    <cellStyle name="Normal 2 2 2 3 2 9" xfId="1898"/>
    <cellStyle name="Normal 2 2 2 3 3" xfId="1246"/>
    <cellStyle name="Normal 2 2 2 3 4" xfId="1344"/>
    <cellStyle name="Normal 2 2 2 3 5" xfId="1442"/>
    <cellStyle name="Normal 2 2 2 3 6" xfId="1540"/>
    <cellStyle name="Normal 2 2 2 3 7" xfId="1645"/>
    <cellStyle name="Normal 2 2 2 3 8" xfId="1748"/>
    <cellStyle name="Normal 2 2 2 3 9" xfId="1851"/>
    <cellStyle name="Normal 2 2 2 4" xfId="1593"/>
    <cellStyle name="Normal 2 2 2 4 2" xfId="2062"/>
    <cellStyle name="Normal 2 2 2 4 2 2" xfId="2134"/>
    <cellStyle name="Normal 2 2 2 5" xfId="1697"/>
    <cellStyle name="Normal 2 2 2 5 2" xfId="2122"/>
    <cellStyle name="Normal 2 2 2 6" xfId="1800"/>
    <cellStyle name="Normal 2 2 2 6 2" xfId="2244"/>
    <cellStyle name="Normal 2 2 2 7" xfId="1951"/>
    <cellStyle name="Normal 2 2 2 7 2" xfId="2238"/>
    <cellStyle name="Normal 2 2 2 8" xfId="2484"/>
    <cellStyle name="Normal 2 2 2 9" xfId="2272"/>
    <cellStyle name="Normal 2 2 20" xfId="2941"/>
    <cellStyle name="Normal 2 2 3" xfId="1168"/>
    <cellStyle name="Normal 2 2 3 10" xfId="2653"/>
    <cellStyle name="Normal 2 2 3 11" xfId="2704"/>
    <cellStyle name="Normal 2 2 3 12" xfId="2743"/>
    <cellStyle name="Normal 2 2 3 13" xfId="2716"/>
    <cellStyle name="Normal 2 2 3 14" xfId="2813"/>
    <cellStyle name="Normal 2 2 3 15" xfId="2843"/>
    <cellStyle name="Normal 2 2 3 16" xfId="2951"/>
    <cellStyle name="Normal 2 2 3 17" xfId="3038"/>
    <cellStyle name="Normal 2 2 3 18" xfId="2945"/>
    <cellStyle name="Normal 2 2 3 2" xfId="1177"/>
    <cellStyle name="Normal 2 2 3 2 10" xfId="2697"/>
    <cellStyle name="Normal 2 2 3 2 11" xfId="2736"/>
    <cellStyle name="Normal 2 2 3 2 12" xfId="2755"/>
    <cellStyle name="Normal 2 2 3 2 13" xfId="2780"/>
    <cellStyle name="Normal 2 2 3 2 14" xfId="2360"/>
    <cellStyle name="Normal 2 2 3 2 15" xfId="2807"/>
    <cellStyle name="Normal 2 2 3 2 16" xfId="2999"/>
    <cellStyle name="Normal 2 2 3 2 17" xfId="2879"/>
    <cellStyle name="Normal 2 2 3 2 18" xfId="3031"/>
    <cellStyle name="Normal 2 2 3 2 2" xfId="1182"/>
    <cellStyle name="Normal 2 2 3 2 2 10" xfId="2699"/>
    <cellStyle name="Normal 2 2 3 2 2 11" xfId="2739"/>
    <cellStyle name="Normal 2 2 3 2 2 12" xfId="2758"/>
    <cellStyle name="Normal 2 2 3 2 2 13" xfId="2783"/>
    <cellStyle name="Normal 2 2 3 2 2 14" xfId="2748"/>
    <cellStyle name="Normal 2 2 3 2 2 15" xfId="2836"/>
    <cellStyle name="Normal 2 2 3 2 2 16" xfId="3002"/>
    <cellStyle name="Normal 2 2 3 2 2 17" xfId="2877"/>
    <cellStyle name="Normal 2 2 3 2 2 18" xfId="3030"/>
    <cellStyle name="Normal 2 2 3 2 2 2" xfId="1191"/>
    <cellStyle name="Normal 2 2 3 2 2 2 2" xfId="1194"/>
    <cellStyle name="Normal 2 2 3 2 2 2 2 2" xfId="2263"/>
    <cellStyle name="Normal 2 2 3 2 2 2 2 2 2" xfId="2265"/>
    <cellStyle name="Normal 2 2 3 2 2 2 2 3" xfId="2790"/>
    <cellStyle name="Normal 2 2 3 2 2 2 2 4" xfId="2348"/>
    <cellStyle name="Normal 2 2 3 2 2 2 2 5" xfId="2781"/>
    <cellStyle name="Normal 2 2 3 2 2 2 2 6" xfId="3008"/>
    <cellStyle name="Normal 2 2 3 2 2 2 2 7" xfId="2871"/>
    <cellStyle name="Normal 2 2 3 2 2 2 3" xfId="2009"/>
    <cellStyle name="Normal 2 2 3 2 2 2 3 2" xfId="2788"/>
    <cellStyle name="Normal 2 2 3 2 2 2 4" xfId="2752"/>
    <cellStyle name="Normal 2 2 3 2 2 2 5" xfId="2819"/>
    <cellStyle name="Normal 2 2 3 2 2 2 6" xfId="3006"/>
    <cellStyle name="Normal 2 2 3 2 2 2 7" xfId="2873"/>
    <cellStyle name="Normal 2 2 3 2 2 3" xfId="2008"/>
    <cellStyle name="Normal 2 2 3 2 2 3 2" xfId="2069"/>
    <cellStyle name="Normal 2 2 3 2 2 4" xfId="2129"/>
    <cellStyle name="Normal 2 2 3 2 2 5" xfId="2251"/>
    <cellStyle name="Normal 2 2 3 2 2 6" xfId="2259"/>
    <cellStyle name="Normal 2 2 3 2 2 7" xfId="2537"/>
    <cellStyle name="Normal 2 2 3 2 2 8" xfId="2591"/>
    <cellStyle name="Normal 2 2 3 2 2 9" xfId="2648"/>
    <cellStyle name="Normal 2 2 3 2 3" xfId="2003"/>
    <cellStyle name="Normal 2 2 3 2 3 2" xfId="2068"/>
    <cellStyle name="Normal 2 2 3 2 4" xfId="2128"/>
    <cellStyle name="Normal 2 2 3 2 5" xfId="2250"/>
    <cellStyle name="Normal 2 2 3 2 6" xfId="2258"/>
    <cellStyle name="Normal 2 2 3 2 7" xfId="2536"/>
    <cellStyle name="Normal 2 2 3 2 8" xfId="2590"/>
    <cellStyle name="Normal 2 2 3 2 9" xfId="2647"/>
    <cellStyle name="Normal 2 2 3 3" xfId="2002"/>
    <cellStyle name="Normal 2 2 3 3 2" xfId="2064"/>
    <cellStyle name="Normal 2 2 3 4" xfId="2124"/>
    <cellStyle name="Normal 2 2 3 5" xfId="2246"/>
    <cellStyle name="Normal 2 2 3 6" xfId="2171"/>
    <cellStyle name="Normal 2 2 3 7" xfId="2487"/>
    <cellStyle name="Normal 2 2 3 8" xfId="2542"/>
    <cellStyle name="Normal 2 2 3 9" xfId="2596"/>
    <cellStyle name="Normal 2 2 4" xfId="1181"/>
    <cellStyle name="Normal 2 2 5" xfId="1921"/>
    <cellStyle name="Normal 2 2 5 2" xfId="2061"/>
    <cellStyle name="Normal 2 2 5 2 2" xfId="2133"/>
    <cellStyle name="Normal 2 2 6" xfId="2121"/>
    <cellStyle name="Normal 2 2 7" xfId="2243"/>
    <cellStyle name="Normal 2 2 8" xfId="2239"/>
    <cellStyle name="Normal 2 2 9" xfId="2483"/>
    <cellStyle name="Normal 2 20" xfId="3039"/>
    <cellStyle name="Normal 2 3" xfId="1153"/>
    <cellStyle name="Normal 2 3 10" xfId="2275"/>
    <cellStyle name="Normal 2 3 11" xfId="2476"/>
    <cellStyle name="Normal 2 3 12" xfId="2280"/>
    <cellStyle name="Normal 2 3 13" xfId="2598"/>
    <cellStyle name="Normal 2 3 14" xfId="2828"/>
    <cellStyle name="Normal 2 3 15" xfId="2364"/>
    <cellStyle name="Normal 2 3 16" xfId="2950"/>
    <cellStyle name="Normal 2 3 17" xfId="2994"/>
    <cellStyle name="Normal 2 3 18" xfId="2944"/>
    <cellStyle name="Normal 2 3 2" xfId="1180"/>
    <cellStyle name="Normal 2 3 2 10" xfId="2678"/>
    <cellStyle name="Normal 2 3 2 11" xfId="2715"/>
    <cellStyle name="Normal 2 3 2 12" xfId="2753"/>
    <cellStyle name="Normal 2 3 2 13" xfId="2764"/>
    <cellStyle name="Normal 2 3 2 14" xfId="2373"/>
    <cellStyle name="Normal 2 3 2 15" xfId="2742"/>
    <cellStyle name="Normal 2 3 2 16" xfId="2985"/>
    <cellStyle name="Normal 2 3 2 17" xfId="2893"/>
    <cellStyle name="Normal 2 3 2 18" xfId="3000"/>
    <cellStyle name="Normal 2 3 2 2" xfId="1190"/>
    <cellStyle name="Normal 2 3 2 2 10" xfId="2698"/>
    <cellStyle name="Normal 2 3 2 2 11" xfId="2738"/>
    <cellStyle name="Normal 2 3 2 2 12" xfId="2757"/>
    <cellStyle name="Normal 2 3 2 2 13" xfId="2782"/>
    <cellStyle name="Normal 2 3 2 2 14" xfId="2359"/>
    <cellStyle name="Normal 2 3 2 2 15" xfId="2805"/>
    <cellStyle name="Normal 2 3 2 2 16" xfId="3001"/>
    <cellStyle name="Normal 2 3 2 2 17" xfId="2878"/>
    <cellStyle name="Normal 2 3 2 2 18" xfId="3021"/>
    <cellStyle name="Normal 2 3 2 2 2" xfId="1193"/>
    <cellStyle name="Normal 2 3 2 2 2 2" xfId="2262"/>
    <cellStyle name="Normal 2 3 2 2 2 2 2" xfId="2264"/>
    <cellStyle name="Normal 2 3 2 2 2 2 3" xfId="2789"/>
    <cellStyle name="Normal 2 3 2 2 2 2 4" xfId="2349"/>
    <cellStyle name="Normal 2 3 2 2 2 2 5" xfId="2717"/>
    <cellStyle name="Normal 2 3 2 2 2 2 6" xfId="3007"/>
    <cellStyle name="Normal 2 3 2 2 2 2 7" xfId="2872"/>
    <cellStyle name="Normal 2 3 2 2 2 3" xfId="2787"/>
    <cellStyle name="Normal 2 3 2 2 2 4" xfId="2751"/>
    <cellStyle name="Normal 2 3 2 2 2 5" xfId="2821"/>
    <cellStyle name="Normal 2 3 2 2 2 6" xfId="3005"/>
    <cellStyle name="Normal 2 3 2 2 2 7" xfId="2874"/>
    <cellStyle name="Normal 2 3 2 2 3" xfId="1294"/>
    <cellStyle name="Normal 2 3 2 2 4" xfId="1392"/>
    <cellStyle name="Normal 2 3 2 2 5" xfId="1490"/>
    <cellStyle name="Normal 2 3 2 2 6" xfId="1588"/>
    <cellStyle name="Normal 2 3 2 2 7" xfId="1693"/>
    <cellStyle name="Normal 2 3 2 2 8" xfId="1796"/>
    <cellStyle name="Normal 2 3 2 2 9" xfId="1899"/>
    <cellStyle name="Normal 2 3 2 3" xfId="1265"/>
    <cellStyle name="Normal 2 3 2 4" xfId="1363"/>
    <cellStyle name="Normal 2 3 2 5" xfId="1461"/>
    <cellStyle name="Normal 2 3 2 6" xfId="1559"/>
    <cellStyle name="Normal 2 3 2 7" xfId="1664"/>
    <cellStyle name="Normal 2 3 2 8" xfId="1767"/>
    <cellStyle name="Normal 2 3 2 9" xfId="1870"/>
    <cellStyle name="Normal 2 3 3" xfId="1243"/>
    <cellStyle name="Normal 2 3 4" xfId="1341"/>
    <cellStyle name="Normal 2 3 5" xfId="1439"/>
    <cellStyle name="Normal 2 3 6" xfId="1537"/>
    <cellStyle name="Normal 2 3 7" xfId="1642"/>
    <cellStyle name="Normal 2 3 8" xfId="1745"/>
    <cellStyle name="Normal 2 3 9" xfId="1848"/>
    <cellStyle name="Normal 2 4" xfId="1167"/>
    <cellStyle name="Normal 2 4 10" xfId="2705"/>
    <cellStyle name="Normal 2 4 11" xfId="2744"/>
    <cellStyle name="Normal 2 4 12" xfId="2946"/>
    <cellStyle name="Normal 2 4 2" xfId="1175"/>
    <cellStyle name="Normal 2 4 2 2" xfId="1183"/>
    <cellStyle name="Normal 2 4 2 3" xfId="2004"/>
    <cellStyle name="Normal 2 4 3" xfId="1973"/>
    <cellStyle name="Normal 2 4 3 2" xfId="2065"/>
    <cellStyle name="Normal 2 4 4" xfId="2125"/>
    <cellStyle name="Normal 2 4 5" xfId="2247"/>
    <cellStyle name="Normal 2 4 6" xfId="2488"/>
    <cellStyle name="Normal 2 4 7" xfId="2543"/>
    <cellStyle name="Normal 2 4 8" xfId="2597"/>
    <cellStyle name="Normal 2 4 9" xfId="2654"/>
    <cellStyle name="Normal 2 5" xfId="1591"/>
    <cellStyle name="Normal 2 5 2" xfId="2032"/>
    <cellStyle name="Normal 2 5 2 2" xfId="2132"/>
    <cellStyle name="Normal 2 6" xfId="1696"/>
    <cellStyle name="Normal 2 6 2" xfId="2091"/>
    <cellStyle name="Normal 2 7" xfId="1799"/>
    <cellStyle name="Normal 2 7 2" xfId="2208"/>
    <cellStyle name="Normal 2 8" xfId="1920"/>
    <cellStyle name="Normal 2 8 2" xfId="2240"/>
    <cellStyle name="Normal 2 9" xfId="2435"/>
    <cellStyle name="Normal 20" xfId="2532"/>
    <cellStyle name="Normal 23" xfId="2374"/>
    <cellStyle name="Normal 27" xfId="327"/>
    <cellStyle name="Normal 27 2" xfId="1119"/>
    <cellStyle name="Normal 3" xfId="1165"/>
    <cellStyle name="Normal 3 10" xfId="1641"/>
    <cellStyle name="Normal 3 10 2" xfId="2274"/>
    <cellStyle name="Normal 3 11" xfId="1698"/>
    <cellStyle name="Normal 3 11 2" xfId="2478"/>
    <cellStyle name="Normal 3 12" xfId="1744"/>
    <cellStyle name="Normal 3 12 2" xfId="2279"/>
    <cellStyle name="Normal 3 13" xfId="1801"/>
    <cellStyle name="Normal 3 13 2" xfId="2533"/>
    <cellStyle name="Normal 3 14" xfId="1847"/>
    <cellStyle name="Normal 3 14 2" xfId="2587"/>
    <cellStyle name="Normal 3 15" xfId="1922"/>
    <cellStyle name="Normal 3 15 2" xfId="2694"/>
    <cellStyle name="Normal 3 16" xfId="2531"/>
    <cellStyle name="Normal 3 17" xfId="2378"/>
    <cellStyle name="Normal 3 18" xfId="2852"/>
    <cellStyle name="Normal 3 19" xfId="2981"/>
    <cellStyle name="Normal 3 2" xfId="1162"/>
    <cellStyle name="Normal 3 2 10" xfId="2481"/>
    <cellStyle name="Normal 3 2 11" xfId="2276"/>
    <cellStyle name="Normal 3 2 12" xfId="2475"/>
    <cellStyle name="Normal 3 2 13" xfId="2281"/>
    <cellStyle name="Normal 3 2 14" xfId="2718"/>
    <cellStyle name="Normal 3 2 15" xfId="2774"/>
    <cellStyle name="Normal 3 2 16" xfId="2340"/>
    <cellStyle name="Normal 3 2 17" xfId="2952"/>
    <cellStyle name="Normal 3 2 18" xfId="3016"/>
    <cellStyle name="Normal 3 2 19" xfId="2943"/>
    <cellStyle name="Normal 3 2 2" xfId="1170"/>
    <cellStyle name="Normal 3 2 2 2" xfId="1173"/>
    <cellStyle name="Normal 3 2 2 2 2" xfId="2254"/>
    <cellStyle name="Normal 3 2 2 2 2 2" xfId="2257"/>
    <cellStyle name="Normal 3 2 2 2 3" xfId="2768"/>
    <cellStyle name="Normal 3 2 2 2 4" xfId="2369"/>
    <cellStyle name="Normal 3 2 2 2 5" xfId="2808"/>
    <cellStyle name="Normal 3 2 2 2 6" xfId="2989"/>
    <cellStyle name="Normal 3 2 2 2 7" xfId="2889"/>
    <cellStyle name="Normal 3 2 2 3" xfId="1953"/>
    <cellStyle name="Normal 3 2 2 3 2" xfId="2765"/>
    <cellStyle name="Normal 3 2 2 4" xfId="2372"/>
    <cellStyle name="Normal 3 2 2 5" xfId="2709"/>
    <cellStyle name="Normal 3 2 2 6" xfId="2986"/>
    <cellStyle name="Normal 3 2 2 7" xfId="2892"/>
    <cellStyle name="Normal 3 2 3" xfId="1179"/>
    <cellStyle name="Normal 3 2 4" xfId="1950"/>
    <cellStyle name="Normal 3 2 4 2" xfId="2063"/>
    <cellStyle name="Normal 3 2 5" xfId="2123"/>
    <cellStyle name="Normal 3 2 6" xfId="2245"/>
    <cellStyle name="Normal 3 2 7" xfId="2170"/>
    <cellStyle name="Normal 3 2 8" xfId="2485"/>
    <cellStyle name="Normal 3 2 9" xfId="2271"/>
    <cellStyle name="Normal 3 20" xfId="2940"/>
    <cellStyle name="Normal 3 3" xfId="1169"/>
    <cellStyle name="Normal 3 3 10" xfId="2001"/>
    <cellStyle name="Normal 3 3 2" xfId="1176"/>
    <cellStyle name="Normal 3 3 2 2" xfId="2136"/>
    <cellStyle name="Normal 3 3 3" xfId="1244"/>
    <cellStyle name="Normal 3 3 4" xfId="1342"/>
    <cellStyle name="Normal 3 3 5" xfId="1440"/>
    <cellStyle name="Normal 3 3 6" xfId="1538"/>
    <cellStyle name="Normal 3 3 7" xfId="1643"/>
    <cellStyle name="Normal 3 3 8" xfId="1746"/>
    <cellStyle name="Normal 3 3 9" xfId="1849"/>
    <cellStyle name="Normal 3 4" xfId="1186"/>
    <cellStyle name="Normal 3 4 2" xfId="1245"/>
    <cellStyle name="Normal 3 4 2 2" xfId="2139"/>
    <cellStyle name="Normal 3 4 3" xfId="1343"/>
    <cellStyle name="Normal 3 4 4" xfId="1441"/>
    <cellStyle name="Normal 3 4 5" xfId="1539"/>
    <cellStyle name="Normal 3 4 6" xfId="1644"/>
    <cellStyle name="Normal 3 4 7" xfId="1747"/>
    <cellStyle name="Normal 3 4 8" xfId="1850"/>
    <cellStyle name="Normal 3 4 9" xfId="2007"/>
    <cellStyle name="Normal 3 5" xfId="1242"/>
    <cellStyle name="Normal 3 5 2" xfId="1590"/>
    <cellStyle name="Normal 3 5 3" xfId="1695"/>
    <cellStyle name="Normal 3 5 4" xfId="1798"/>
    <cellStyle name="Normal 3 5 5" xfId="1901"/>
    <cellStyle name="Normal 3 5 6" xfId="2060"/>
    <cellStyle name="Normal 3 6" xfId="1340"/>
    <cellStyle name="Normal 3 6 2" xfId="1589"/>
    <cellStyle name="Normal 3 6 3" xfId="1694"/>
    <cellStyle name="Normal 3 6 4" xfId="1797"/>
    <cellStyle name="Normal 3 6 5" xfId="1900"/>
    <cellStyle name="Normal 3 6 6" xfId="2120"/>
    <cellStyle name="Normal 3 7" xfId="1438"/>
    <cellStyle name="Normal 3 7 2" xfId="2242"/>
    <cellStyle name="Normal 3 8" xfId="1536"/>
    <cellStyle name="Normal 3 8 2" xfId="2237"/>
    <cellStyle name="Normal 3 9" xfId="1594"/>
    <cellStyle name="Normal 3 9 2" xfId="2482"/>
    <cellStyle name="Normal 4" xfId="375"/>
    <cellStyle name="Normal 4 2" xfId="1189"/>
    <cellStyle name="Normal 4 3" xfId="2236"/>
    <cellStyle name="Normal 4 4" xfId="2754"/>
    <cellStyle name="Normal 4 5" xfId="2835"/>
    <cellStyle name="Normal 4 6" xfId="2379"/>
    <cellStyle name="Normal 4 7" xfId="2853"/>
    <cellStyle name="Normal 4 8" xfId="2980"/>
    <cellStyle name="Normal 5" xfId="328"/>
    <cellStyle name="Normal 6" xfId="329"/>
    <cellStyle name="Normal 7" xfId="1110"/>
    <cellStyle name="Normal 8" xfId="1166"/>
    <cellStyle name="Normal 8 2" xfId="1174"/>
    <cellStyle name="Normal 8 3" xfId="1954"/>
    <cellStyle name="Normal 9 2" xfId="2012"/>
    <cellStyle name="Note 10" xfId="330"/>
    <cellStyle name="Note 10 10" xfId="874"/>
    <cellStyle name="Note 10 10 2" xfId="2547"/>
    <cellStyle name="Note 10 11" xfId="910"/>
    <cellStyle name="Note 10 11 2" xfId="2601"/>
    <cellStyle name="Note 10 12" xfId="946"/>
    <cellStyle name="Note 10 12 2" xfId="2657"/>
    <cellStyle name="Note 10 13" xfId="982"/>
    <cellStyle name="Note 10 13 2" xfId="2719"/>
    <cellStyle name="Note 10 14" xfId="1009"/>
    <cellStyle name="Note 10 14 2" xfId="2798"/>
    <cellStyle name="Note 10 15" xfId="1036"/>
    <cellStyle name="Note 10 15 2" xfId="2324"/>
    <cellStyle name="Note 10 16" xfId="1063"/>
    <cellStyle name="Note 10 16 2" xfId="2953"/>
    <cellStyle name="Note 10 17" xfId="1215"/>
    <cellStyle name="Note 10 17 2" xfId="3026"/>
    <cellStyle name="Note 10 18" xfId="1313"/>
    <cellStyle name="Note 10 18 2" xfId="2882"/>
    <cellStyle name="Note 10 19" xfId="1411"/>
    <cellStyle name="Note 10 2" xfId="433"/>
    <cellStyle name="Note 10 2 2" xfId="1266"/>
    <cellStyle name="Note 10 2 3" xfId="1364"/>
    <cellStyle name="Note 10 2 4" xfId="1462"/>
    <cellStyle name="Note 10 2 5" xfId="1560"/>
    <cellStyle name="Note 10 2 6" xfId="1665"/>
    <cellStyle name="Note 10 2 7" xfId="1768"/>
    <cellStyle name="Note 10 2 8" xfId="1871"/>
    <cellStyle name="Note 10 2 9" xfId="1974"/>
    <cellStyle name="Note 10 20" xfId="1509"/>
    <cellStyle name="Note 10 21" xfId="1614"/>
    <cellStyle name="Note 10 22" xfId="1717"/>
    <cellStyle name="Note 10 23" xfId="1820"/>
    <cellStyle name="Note 10 24" xfId="1923"/>
    <cellStyle name="Note 10 3" xfId="496"/>
    <cellStyle name="Note 10 3 2" xfId="2033"/>
    <cellStyle name="Note 10 4" xfId="523"/>
    <cellStyle name="Note 10 4 2" xfId="2092"/>
    <cellStyle name="Note 10 5" xfId="694"/>
    <cellStyle name="Note 10 5 2" xfId="2209"/>
    <cellStyle name="Note 10 6" xfId="730"/>
    <cellStyle name="Note 10 6 2" xfId="2169"/>
    <cellStyle name="Note 10 7" xfId="766"/>
    <cellStyle name="Note 10 7 2" xfId="2439"/>
    <cellStyle name="Note 10 8" xfId="802"/>
    <cellStyle name="Note 10 8 2" xfId="2317"/>
    <cellStyle name="Note 10 9" xfId="838"/>
    <cellStyle name="Note 10 9 2" xfId="2492"/>
    <cellStyle name="Note 2" xfId="331"/>
    <cellStyle name="Note 2 10" xfId="875"/>
    <cellStyle name="Note 2 10 2" xfId="2595"/>
    <cellStyle name="Note 2 11" xfId="911"/>
    <cellStyle name="Note 2 11 2" xfId="2652"/>
    <cellStyle name="Note 2 12" xfId="947"/>
    <cellStyle name="Note 2 12 2" xfId="2703"/>
    <cellStyle name="Note 2 13" xfId="983"/>
    <cellStyle name="Note 2 13 2" xfId="2720"/>
    <cellStyle name="Note 2 14" xfId="1010"/>
    <cellStyle name="Note 2 14 2" xfId="2773"/>
    <cellStyle name="Note 2 15" xfId="1037"/>
    <cellStyle name="Note 2 15 2" xfId="2341"/>
    <cellStyle name="Note 2 16" xfId="1064"/>
    <cellStyle name="Note 2 16 2" xfId="2954"/>
    <cellStyle name="Note 2 17" xfId="1216"/>
    <cellStyle name="Note 2 17 2" xfId="3015"/>
    <cellStyle name="Note 2 18" xfId="1314"/>
    <cellStyle name="Note 2 18 2" xfId="3052"/>
    <cellStyle name="Note 2 19" xfId="1412"/>
    <cellStyle name="Note 2 2" xfId="434"/>
    <cellStyle name="Note 2 2 2" xfId="1267"/>
    <cellStyle name="Note 2 2 3" xfId="1365"/>
    <cellStyle name="Note 2 2 4" xfId="1463"/>
    <cellStyle name="Note 2 2 5" xfId="1561"/>
    <cellStyle name="Note 2 2 6" xfId="1666"/>
    <cellStyle name="Note 2 2 7" xfId="1769"/>
    <cellStyle name="Note 2 2 8" xfId="1872"/>
    <cellStyle name="Note 2 2 9" xfId="1975"/>
    <cellStyle name="Note 2 20" xfId="1510"/>
    <cellStyle name="Note 2 21" xfId="1615"/>
    <cellStyle name="Note 2 22" xfId="1718"/>
    <cellStyle name="Note 2 23" xfId="1821"/>
    <cellStyle name="Note 2 24" xfId="1924"/>
    <cellStyle name="Note 2 3" xfId="497"/>
    <cellStyle name="Note 2 3 2" xfId="2034"/>
    <cellStyle name="Note 2 4" xfId="524"/>
    <cellStyle name="Note 2 4 2" xfId="2093"/>
    <cellStyle name="Note 2 5" xfId="695"/>
    <cellStyle name="Note 2 5 2" xfId="2210"/>
    <cellStyle name="Note 2 6" xfId="731"/>
    <cellStyle name="Note 2 6 2" xfId="2168"/>
    <cellStyle name="Note 2 7" xfId="767"/>
    <cellStyle name="Note 2 7 2" xfId="2440"/>
    <cellStyle name="Note 2 8" xfId="803"/>
    <cellStyle name="Note 2 8 2" xfId="2316"/>
    <cellStyle name="Note 2 9" xfId="839"/>
    <cellStyle name="Note 2 9 2" xfId="2541"/>
    <cellStyle name="Note 3" xfId="332"/>
    <cellStyle name="Note 3 10" xfId="876"/>
    <cellStyle name="Note 3 10 2" xfId="2594"/>
    <cellStyle name="Note 3 11" xfId="912"/>
    <cellStyle name="Note 3 11 2" xfId="2651"/>
    <cellStyle name="Note 3 12" xfId="948"/>
    <cellStyle name="Note 3 12 2" xfId="2702"/>
    <cellStyle name="Note 3 13" xfId="984"/>
    <cellStyle name="Note 3 13 2" xfId="2721"/>
    <cellStyle name="Note 3 14" xfId="1011"/>
    <cellStyle name="Note 3 14 2" xfId="2827"/>
    <cellStyle name="Note 3 15" xfId="1038"/>
    <cellStyle name="Note 3 15 2" xfId="2365"/>
    <cellStyle name="Note 3 16" xfId="1065"/>
    <cellStyle name="Note 3 16 2" xfId="2955"/>
    <cellStyle name="Note 3 17" xfId="1217"/>
    <cellStyle name="Note 3 17 2" xfId="2993"/>
    <cellStyle name="Note 3 18" xfId="1315"/>
    <cellStyle name="Note 3 18 2" xfId="2856"/>
    <cellStyle name="Note 3 19" xfId="1413"/>
    <cellStyle name="Note 3 2" xfId="435"/>
    <cellStyle name="Note 3 2 2" xfId="1268"/>
    <cellStyle name="Note 3 2 3" xfId="1366"/>
    <cellStyle name="Note 3 2 4" xfId="1464"/>
    <cellStyle name="Note 3 2 5" xfId="1562"/>
    <cellStyle name="Note 3 2 6" xfId="1667"/>
    <cellStyle name="Note 3 2 7" xfId="1770"/>
    <cellStyle name="Note 3 2 8" xfId="1873"/>
    <cellStyle name="Note 3 2 9" xfId="1976"/>
    <cellStyle name="Note 3 20" xfId="1511"/>
    <cellStyle name="Note 3 21" xfId="1616"/>
    <cellStyle name="Note 3 22" xfId="1719"/>
    <cellStyle name="Note 3 23" xfId="1822"/>
    <cellStyle name="Note 3 24" xfId="1925"/>
    <cellStyle name="Note 3 3" xfId="498"/>
    <cellStyle name="Note 3 3 2" xfId="2035"/>
    <cellStyle name="Note 3 4" xfId="525"/>
    <cellStyle name="Note 3 4 2" xfId="2094"/>
    <cellStyle name="Note 3 5" xfId="696"/>
    <cellStyle name="Note 3 5 2" xfId="2211"/>
    <cellStyle name="Note 3 6" xfId="732"/>
    <cellStyle name="Note 3 6 2" xfId="2167"/>
    <cellStyle name="Note 3 7" xfId="768"/>
    <cellStyle name="Note 3 7 2" xfId="2441"/>
    <cellStyle name="Note 3 8" xfId="804"/>
    <cellStyle name="Note 3 8 2" xfId="2315"/>
    <cellStyle name="Note 3 9" xfId="840"/>
    <cellStyle name="Note 3 9 2" xfId="2540"/>
    <cellStyle name="Note 4" xfId="333"/>
    <cellStyle name="Note 4 10" xfId="877"/>
    <cellStyle name="Note 4 10 2" xfId="2549"/>
    <cellStyle name="Note 4 11" xfId="913"/>
    <cellStyle name="Note 4 11 2" xfId="2603"/>
    <cellStyle name="Note 4 12" xfId="949"/>
    <cellStyle name="Note 4 12 2" xfId="2659"/>
    <cellStyle name="Note 4 13" xfId="985"/>
    <cellStyle name="Note 4 13 2" xfId="2722"/>
    <cellStyle name="Note 4 14" xfId="1012"/>
    <cellStyle name="Note 4 14 2" xfId="2812"/>
    <cellStyle name="Note 4 15" xfId="1039"/>
    <cellStyle name="Note 4 15 2" xfId="2842"/>
    <cellStyle name="Note 4 16" xfId="1066"/>
    <cellStyle name="Note 4 16 2" xfId="2956"/>
    <cellStyle name="Note 4 17" xfId="1218"/>
    <cellStyle name="Note 4 17 2" xfId="3037"/>
    <cellStyle name="Note 4 18" xfId="1316"/>
    <cellStyle name="Note 4 18 2" xfId="2863"/>
    <cellStyle name="Note 4 19" xfId="1414"/>
    <cellStyle name="Note 4 2" xfId="436"/>
    <cellStyle name="Note 4 2 2" xfId="1269"/>
    <cellStyle name="Note 4 2 3" xfId="1367"/>
    <cellStyle name="Note 4 2 4" xfId="1465"/>
    <cellStyle name="Note 4 2 5" xfId="1563"/>
    <cellStyle name="Note 4 2 6" xfId="1668"/>
    <cellStyle name="Note 4 2 7" xfId="1771"/>
    <cellStyle name="Note 4 2 8" xfId="1874"/>
    <cellStyle name="Note 4 2 9" xfId="1977"/>
    <cellStyle name="Note 4 20" xfId="1512"/>
    <cellStyle name="Note 4 21" xfId="1617"/>
    <cellStyle name="Note 4 22" xfId="1720"/>
    <cellStyle name="Note 4 23" xfId="1823"/>
    <cellStyle name="Note 4 24" xfId="1926"/>
    <cellStyle name="Note 4 3" xfId="499"/>
    <cellStyle name="Note 4 3 2" xfId="2036"/>
    <cellStyle name="Note 4 4" xfId="526"/>
    <cellStyle name="Note 4 4 2" xfId="2095"/>
    <cellStyle name="Note 4 5" xfId="697"/>
    <cellStyle name="Note 4 5 2" xfId="2212"/>
    <cellStyle name="Note 4 6" xfId="733"/>
    <cellStyle name="Note 4 6 2" xfId="2166"/>
    <cellStyle name="Note 4 7" xfId="769"/>
    <cellStyle name="Note 4 7 2" xfId="2442"/>
    <cellStyle name="Note 4 8" xfId="805"/>
    <cellStyle name="Note 4 8 2" xfId="2314"/>
    <cellStyle name="Note 4 9" xfId="841"/>
    <cellStyle name="Note 4 9 2" xfId="2494"/>
    <cellStyle name="Note 5" xfId="334"/>
    <cellStyle name="Note 5 10" xfId="878"/>
    <cellStyle name="Note 5 10 2" xfId="2319"/>
    <cellStyle name="Note 5 11" xfId="914"/>
    <cellStyle name="Note 5 11 2" xfId="2436"/>
    <cellStyle name="Note 5 12" xfId="950"/>
    <cellStyle name="Note 5 12 2" xfId="2320"/>
    <cellStyle name="Note 5 13" xfId="986"/>
    <cellStyle name="Note 5 13 2" xfId="2723"/>
    <cellStyle name="Note 5 14" xfId="1013"/>
    <cellStyle name="Note 5 14 2" xfId="2797"/>
    <cellStyle name="Note 5 15" xfId="1040"/>
    <cellStyle name="Note 5 15 2" xfId="2325"/>
    <cellStyle name="Note 5 16" xfId="1067"/>
    <cellStyle name="Note 5 16 2" xfId="2957"/>
    <cellStyle name="Note 5 17" xfId="1219"/>
    <cellStyle name="Note 5 17 2" xfId="3025"/>
    <cellStyle name="Note 5 18" xfId="1317"/>
    <cellStyle name="Note 5 18 2" xfId="2883"/>
    <cellStyle name="Note 5 19" xfId="1415"/>
    <cellStyle name="Note 5 2" xfId="437"/>
    <cellStyle name="Note 5 2 2" xfId="1270"/>
    <cellStyle name="Note 5 2 3" xfId="1368"/>
    <cellStyle name="Note 5 2 4" xfId="1466"/>
    <cellStyle name="Note 5 2 5" xfId="1564"/>
    <cellStyle name="Note 5 2 6" xfId="1669"/>
    <cellStyle name="Note 5 2 7" xfId="1772"/>
    <cellStyle name="Note 5 2 8" xfId="1875"/>
    <cellStyle name="Note 5 2 9" xfId="1978"/>
    <cellStyle name="Note 5 20" xfId="1513"/>
    <cellStyle name="Note 5 21" xfId="1618"/>
    <cellStyle name="Note 5 22" xfId="1721"/>
    <cellStyle name="Note 5 23" xfId="1824"/>
    <cellStyle name="Note 5 24" xfId="1927"/>
    <cellStyle name="Note 5 3" xfId="500"/>
    <cellStyle name="Note 5 3 2" xfId="2037"/>
    <cellStyle name="Note 5 4" xfId="527"/>
    <cellStyle name="Note 5 4 2" xfId="2096"/>
    <cellStyle name="Note 5 5" xfId="698"/>
    <cellStyle name="Note 5 5 2" xfId="2213"/>
    <cellStyle name="Note 5 6" xfId="734"/>
    <cellStyle name="Note 5 6 2" xfId="2165"/>
    <cellStyle name="Note 5 7" xfId="770"/>
    <cellStyle name="Note 5 7 2" xfId="2443"/>
    <cellStyle name="Note 5 8" xfId="806"/>
    <cellStyle name="Note 5 8 2" xfId="2313"/>
    <cellStyle name="Note 5 9" xfId="842"/>
    <cellStyle name="Note 5 9 2" xfId="2437"/>
    <cellStyle name="Note 6" xfId="335"/>
    <cellStyle name="Note 6 10" xfId="879"/>
    <cellStyle name="Note 6 10 2" xfId="2318"/>
    <cellStyle name="Note 6 11" xfId="915"/>
    <cellStyle name="Note 6 11 2" xfId="2489"/>
    <cellStyle name="Note 6 12" xfId="951"/>
    <cellStyle name="Note 6 12 2" xfId="2544"/>
    <cellStyle name="Note 6 13" xfId="987"/>
    <cellStyle name="Note 6 13 2" xfId="2724"/>
    <cellStyle name="Note 6 14" xfId="1014"/>
    <cellStyle name="Note 6 14 2" xfId="2772"/>
    <cellStyle name="Note 6 15" xfId="1041"/>
    <cellStyle name="Note 6 15 2" xfId="2342"/>
    <cellStyle name="Note 6 16" xfId="1068"/>
    <cellStyle name="Note 6 16 2" xfId="2958"/>
    <cellStyle name="Note 6 17" xfId="1220"/>
    <cellStyle name="Note 6 17 2" xfId="3014"/>
    <cellStyle name="Note 6 18" xfId="1318"/>
    <cellStyle name="Note 6 18 2" xfId="3051"/>
    <cellStyle name="Note 6 19" xfId="1416"/>
    <cellStyle name="Note 6 2" xfId="438"/>
    <cellStyle name="Note 6 2 2" xfId="1271"/>
    <cellStyle name="Note 6 2 3" xfId="1369"/>
    <cellStyle name="Note 6 2 4" xfId="1467"/>
    <cellStyle name="Note 6 2 5" xfId="1565"/>
    <cellStyle name="Note 6 2 6" xfId="1670"/>
    <cellStyle name="Note 6 2 7" xfId="1773"/>
    <cellStyle name="Note 6 2 8" xfId="1876"/>
    <cellStyle name="Note 6 2 9" xfId="1979"/>
    <cellStyle name="Note 6 20" xfId="1514"/>
    <cellStyle name="Note 6 21" xfId="1619"/>
    <cellStyle name="Note 6 22" xfId="1722"/>
    <cellStyle name="Note 6 23" xfId="1825"/>
    <cellStyle name="Note 6 24" xfId="1928"/>
    <cellStyle name="Note 6 3" xfId="501"/>
    <cellStyle name="Note 6 3 2" xfId="2038"/>
    <cellStyle name="Note 6 4" xfId="528"/>
    <cellStyle name="Note 6 4 2" xfId="2097"/>
    <cellStyle name="Note 6 5" xfId="699"/>
    <cellStyle name="Note 6 5 2" xfId="2214"/>
    <cellStyle name="Note 6 6" xfId="735"/>
    <cellStyle name="Note 6 6 2" xfId="2164"/>
    <cellStyle name="Note 6 7" xfId="771"/>
    <cellStyle name="Note 6 7 2" xfId="2444"/>
    <cellStyle name="Note 6 8" xfId="807"/>
    <cellStyle name="Note 6 8 2" xfId="2312"/>
    <cellStyle name="Note 6 9" xfId="843"/>
    <cellStyle name="Note 6 9 2" xfId="2438"/>
    <cellStyle name="Note 7" xfId="336"/>
    <cellStyle name="Note 7 10" xfId="880"/>
    <cellStyle name="Note 7 10 2" xfId="2568"/>
    <cellStyle name="Note 7 11" xfId="916"/>
    <cellStyle name="Note 7 11 2" xfId="2622"/>
    <cellStyle name="Note 7 12" xfId="952"/>
    <cellStyle name="Note 7 12 2" xfId="2679"/>
    <cellStyle name="Note 7 13" xfId="988"/>
    <cellStyle name="Note 7 13 2" xfId="2725"/>
    <cellStyle name="Note 7 14" xfId="1015"/>
    <cellStyle name="Note 7 14 2" xfId="2826"/>
    <cellStyle name="Note 7 15" xfId="1042"/>
    <cellStyle name="Note 7 15 2" xfId="2366"/>
    <cellStyle name="Note 7 16" xfId="1069"/>
    <cellStyle name="Note 7 16 2" xfId="2959"/>
    <cellStyle name="Note 7 17" xfId="1221"/>
    <cellStyle name="Note 7 17 2" xfId="2992"/>
    <cellStyle name="Note 7 18" xfId="1319"/>
    <cellStyle name="Note 7 18 2" xfId="2857"/>
    <cellStyle name="Note 7 19" xfId="1417"/>
    <cellStyle name="Note 7 2" xfId="439"/>
    <cellStyle name="Note 7 2 2" xfId="1272"/>
    <cellStyle name="Note 7 2 3" xfId="1370"/>
    <cellStyle name="Note 7 2 4" xfId="1468"/>
    <cellStyle name="Note 7 2 5" xfId="1566"/>
    <cellStyle name="Note 7 2 6" xfId="1671"/>
    <cellStyle name="Note 7 2 7" xfId="1774"/>
    <cellStyle name="Note 7 2 8" xfId="1877"/>
    <cellStyle name="Note 7 2 9" xfId="1980"/>
    <cellStyle name="Note 7 20" xfId="1515"/>
    <cellStyle name="Note 7 21" xfId="1620"/>
    <cellStyle name="Note 7 22" xfId="1723"/>
    <cellStyle name="Note 7 23" xfId="1826"/>
    <cellStyle name="Note 7 24" xfId="1929"/>
    <cellStyle name="Note 7 3" xfId="502"/>
    <cellStyle name="Note 7 3 2" xfId="2039"/>
    <cellStyle name="Note 7 4" xfId="529"/>
    <cellStyle name="Note 7 4 2" xfId="2098"/>
    <cellStyle name="Note 7 5" xfId="700"/>
    <cellStyle name="Note 7 5 2" xfId="2215"/>
    <cellStyle name="Note 7 6" xfId="736"/>
    <cellStyle name="Note 7 6 2" xfId="2163"/>
    <cellStyle name="Note 7 7" xfId="772"/>
    <cellStyle name="Note 7 7 2" xfId="2445"/>
    <cellStyle name="Note 7 8" xfId="808"/>
    <cellStyle name="Note 7 8 2" xfId="2311"/>
    <cellStyle name="Note 7 9" xfId="844"/>
    <cellStyle name="Note 7 9 2" xfId="2513"/>
    <cellStyle name="Note 8" xfId="337"/>
    <cellStyle name="Note 8 10" xfId="881"/>
    <cellStyle name="Note 8 10 2" xfId="2569"/>
    <cellStyle name="Note 8 11" xfId="917"/>
    <cellStyle name="Note 8 11 2" xfId="2623"/>
    <cellStyle name="Note 8 12" xfId="953"/>
    <cellStyle name="Note 8 12 2" xfId="2680"/>
    <cellStyle name="Note 8 13" xfId="989"/>
    <cellStyle name="Note 8 13 2" xfId="2726"/>
    <cellStyle name="Note 8 14" xfId="1016"/>
    <cellStyle name="Note 8 14 2" xfId="2811"/>
    <cellStyle name="Note 8 15" xfId="1043"/>
    <cellStyle name="Note 8 15 2" xfId="2841"/>
    <cellStyle name="Note 8 16" xfId="1070"/>
    <cellStyle name="Note 8 16 2" xfId="2960"/>
    <cellStyle name="Note 8 17" xfId="1222"/>
    <cellStyle name="Note 8 17 2" xfId="3036"/>
    <cellStyle name="Note 8 18" xfId="1320"/>
    <cellStyle name="Note 8 18 2" xfId="2864"/>
    <cellStyle name="Note 8 19" xfId="1418"/>
    <cellStyle name="Note 8 2" xfId="440"/>
    <cellStyle name="Note 8 2 2" xfId="1273"/>
    <cellStyle name="Note 8 2 3" xfId="1371"/>
    <cellStyle name="Note 8 2 4" xfId="1469"/>
    <cellStyle name="Note 8 2 5" xfId="1567"/>
    <cellStyle name="Note 8 2 6" xfId="1672"/>
    <cellStyle name="Note 8 2 7" xfId="1775"/>
    <cellStyle name="Note 8 2 8" xfId="1878"/>
    <cellStyle name="Note 8 2 9" xfId="1981"/>
    <cellStyle name="Note 8 20" xfId="1516"/>
    <cellStyle name="Note 8 21" xfId="1621"/>
    <cellStyle name="Note 8 22" xfId="1724"/>
    <cellStyle name="Note 8 23" xfId="1827"/>
    <cellStyle name="Note 8 24" xfId="1930"/>
    <cellStyle name="Note 8 3" xfId="503"/>
    <cellStyle name="Note 8 3 2" xfId="2040"/>
    <cellStyle name="Note 8 4" xfId="530"/>
    <cellStyle name="Note 8 4 2" xfId="2099"/>
    <cellStyle name="Note 8 5" xfId="701"/>
    <cellStyle name="Note 8 5 2" xfId="2216"/>
    <cellStyle name="Note 8 6" xfId="737"/>
    <cellStyle name="Note 8 6 2" xfId="2162"/>
    <cellStyle name="Note 8 7" xfId="773"/>
    <cellStyle name="Note 8 7 2" xfId="2446"/>
    <cellStyle name="Note 8 8" xfId="809"/>
    <cellStyle name="Note 8 8 2" xfId="2310"/>
    <cellStyle name="Note 8 9" xfId="845"/>
    <cellStyle name="Note 8 9 2" xfId="2514"/>
    <cellStyle name="Note 9" xfId="338"/>
    <cellStyle name="Note 9 10" xfId="882"/>
    <cellStyle name="Note 9 10 2" xfId="2570"/>
    <cellStyle name="Note 9 11" xfId="918"/>
    <cellStyle name="Note 9 11 2" xfId="2624"/>
    <cellStyle name="Note 9 12" xfId="954"/>
    <cellStyle name="Note 9 12 2" xfId="2681"/>
    <cellStyle name="Note 9 13" xfId="990"/>
    <cellStyle name="Note 9 13 2" xfId="2727"/>
    <cellStyle name="Note 9 14" xfId="1017"/>
    <cellStyle name="Note 9 14 2" xfId="2796"/>
    <cellStyle name="Note 9 15" xfId="1044"/>
    <cellStyle name="Note 9 15 2" xfId="2326"/>
    <cellStyle name="Note 9 16" xfId="1071"/>
    <cellStyle name="Note 9 16 2" xfId="2961"/>
    <cellStyle name="Note 9 17" xfId="1223"/>
    <cellStyle name="Note 9 17 2" xfId="3024"/>
    <cellStyle name="Note 9 18" xfId="1321"/>
    <cellStyle name="Note 9 18 2" xfId="2884"/>
    <cellStyle name="Note 9 19" xfId="1419"/>
    <cellStyle name="Note 9 2" xfId="441"/>
    <cellStyle name="Note 9 2 2" xfId="1274"/>
    <cellStyle name="Note 9 2 3" xfId="1372"/>
    <cellStyle name="Note 9 2 4" xfId="1470"/>
    <cellStyle name="Note 9 2 5" xfId="1568"/>
    <cellStyle name="Note 9 2 6" xfId="1673"/>
    <cellStyle name="Note 9 2 7" xfId="1776"/>
    <cellStyle name="Note 9 2 8" xfId="1879"/>
    <cellStyle name="Note 9 2 9" xfId="1982"/>
    <cellStyle name="Note 9 20" xfId="1517"/>
    <cellStyle name="Note 9 21" xfId="1622"/>
    <cellStyle name="Note 9 22" xfId="1725"/>
    <cellStyle name="Note 9 23" xfId="1828"/>
    <cellStyle name="Note 9 24" xfId="1931"/>
    <cellStyle name="Note 9 3" xfId="504"/>
    <cellStyle name="Note 9 3 2" xfId="2041"/>
    <cellStyle name="Note 9 4" xfId="531"/>
    <cellStyle name="Note 9 4 2" xfId="2100"/>
    <cellStyle name="Note 9 5" xfId="702"/>
    <cellStyle name="Note 9 5 2" xfId="2217"/>
    <cellStyle name="Note 9 6" xfId="738"/>
    <cellStyle name="Note 9 6 2" xfId="2161"/>
    <cellStyle name="Note 9 7" xfId="774"/>
    <cellStyle name="Note 9 7 2" xfId="2447"/>
    <cellStyle name="Note 9 8" xfId="810"/>
    <cellStyle name="Note 9 8 2" xfId="2309"/>
    <cellStyle name="Note 9 9" xfId="846"/>
    <cellStyle name="Note 9 9 2" xfId="2515"/>
    <cellStyle name="Output 10" xfId="339"/>
    <cellStyle name="Output 10 10" xfId="883"/>
    <cellStyle name="Output 10 10 2" xfId="2571"/>
    <cellStyle name="Output 10 11" xfId="919"/>
    <cellStyle name="Output 10 11 2" xfId="2625"/>
    <cellStyle name="Output 10 12" xfId="955"/>
    <cellStyle name="Output 10 12 2" xfId="2682"/>
    <cellStyle name="Output 10 13" xfId="991"/>
    <cellStyle name="Output 10 13 2" xfId="2728"/>
    <cellStyle name="Output 10 14" xfId="1018"/>
    <cellStyle name="Output 10 14 2" xfId="2771"/>
    <cellStyle name="Output 10 15" xfId="1045"/>
    <cellStyle name="Output 10 15 2" xfId="2343"/>
    <cellStyle name="Output 10 16" xfId="1072"/>
    <cellStyle name="Output 10 16 2" xfId="2962"/>
    <cellStyle name="Output 10 17" xfId="1224"/>
    <cellStyle name="Output 10 17 2" xfId="3013"/>
    <cellStyle name="Output 10 18" xfId="1322"/>
    <cellStyle name="Output 10 18 2" xfId="3050"/>
    <cellStyle name="Output 10 19" xfId="1420"/>
    <cellStyle name="Output 10 2" xfId="442"/>
    <cellStyle name="Output 10 2 2" xfId="1275"/>
    <cellStyle name="Output 10 2 3" xfId="1373"/>
    <cellStyle name="Output 10 2 4" xfId="1471"/>
    <cellStyle name="Output 10 2 5" xfId="1569"/>
    <cellStyle name="Output 10 2 6" xfId="1674"/>
    <cellStyle name="Output 10 2 7" xfId="1777"/>
    <cellStyle name="Output 10 2 8" xfId="1880"/>
    <cellStyle name="Output 10 2 9" xfId="1983"/>
    <cellStyle name="Output 10 20" xfId="1518"/>
    <cellStyle name="Output 10 21" xfId="1623"/>
    <cellStyle name="Output 10 22" xfId="1726"/>
    <cellStyle name="Output 10 23" xfId="1829"/>
    <cellStyle name="Output 10 24" xfId="1932"/>
    <cellStyle name="Output 10 3" xfId="505"/>
    <cellStyle name="Output 10 3 2" xfId="2042"/>
    <cellStyle name="Output 10 4" xfId="532"/>
    <cellStyle name="Output 10 4 2" xfId="2101"/>
    <cellStyle name="Output 10 5" xfId="703"/>
    <cellStyle name="Output 10 5 2" xfId="2218"/>
    <cellStyle name="Output 10 6" xfId="739"/>
    <cellStyle name="Output 10 6 2" xfId="2160"/>
    <cellStyle name="Output 10 7" xfId="775"/>
    <cellStyle name="Output 10 7 2" xfId="2448"/>
    <cellStyle name="Output 10 8" xfId="811"/>
    <cellStyle name="Output 10 8 2" xfId="2308"/>
    <cellStyle name="Output 10 9" xfId="847"/>
    <cellStyle name="Output 10 9 2" xfId="2516"/>
    <cellStyle name="Output 2" xfId="340"/>
    <cellStyle name="Output 2 10" xfId="884"/>
    <cellStyle name="Output 2 10 2" xfId="2572"/>
    <cellStyle name="Output 2 11" xfId="920"/>
    <cellStyle name="Output 2 11 2" xfId="2626"/>
    <cellStyle name="Output 2 12" xfId="956"/>
    <cellStyle name="Output 2 12 2" xfId="2683"/>
    <cellStyle name="Output 2 13" xfId="992"/>
    <cellStyle name="Output 2 13 2" xfId="2729"/>
    <cellStyle name="Output 2 14" xfId="1019"/>
    <cellStyle name="Output 2 14 2" xfId="2825"/>
    <cellStyle name="Output 2 15" xfId="1046"/>
    <cellStyle name="Output 2 15 2" xfId="2367"/>
    <cellStyle name="Output 2 16" xfId="1073"/>
    <cellStyle name="Output 2 16 2" xfId="2963"/>
    <cellStyle name="Output 2 17" xfId="1225"/>
    <cellStyle name="Output 2 17 2" xfId="2991"/>
    <cellStyle name="Output 2 18" xfId="1323"/>
    <cellStyle name="Output 2 18 2" xfId="2858"/>
    <cellStyle name="Output 2 19" xfId="1421"/>
    <cellStyle name="Output 2 2" xfId="443"/>
    <cellStyle name="Output 2 2 2" xfId="1276"/>
    <cellStyle name="Output 2 2 3" xfId="1374"/>
    <cellStyle name="Output 2 2 4" xfId="1472"/>
    <cellStyle name="Output 2 2 5" xfId="1570"/>
    <cellStyle name="Output 2 2 6" xfId="1675"/>
    <cellStyle name="Output 2 2 7" xfId="1778"/>
    <cellStyle name="Output 2 2 8" xfId="1881"/>
    <cellStyle name="Output 2 2 9" xfId="1984"/>
    <cellStyle name="Output 2 20" xfId="1519"/>
    <cellStyle name="Output 2 21" xfId="1624"/>
    <cellStyle name="Output 2 22" xfId="1727"/>
    <cellStyle name="Output 2 23" xfId="1830"/>
    <cellStyle name="Output 2 24" xfId="1933"/>
    <cellStyle name="Output 2 3" xfId="506"/>
    <cellStyle name="Output 2 3 2" xfId="2043"/>
    <cellStyle name="Output 2 4" xfId="533"/>
    <cellStyle name="Output 2 4 2" xfId="2102"/>
    <cellStyle name="Output 2 5" xfId="704"/>
    <cellStyle name="Output 2 5 2" xfId="2219"/>
    <cellStyle name="Output 2 6" xfId="740"/>
    <cellStyle name="Output 2 6 2" xfId="2159"/>
    <cellStyle name="Output 2 7" xfId="776"/>
    <cellStyle name="Output 2 7 2" xfId="2449"/>
    <cellStyle name="Output 2 8" xfId="812"/>
    <cellStyle name="Output 2 8 2" xfId="2307"/>
    <cellStyle name="Output 2 9" xfId="848"/>
    <cellStyle name="Output 2 9 2" xfId="2517"/>
    <cellStyle name="Output 3" xfId="341"/>
    <cellStyle name="Output 3 10" xfId="885"/>
    <cellStyle name="Output 3 10 2" xfId="2573"/>
    <cellStyle name="Output 3 11" xfId="921"/>
    <cellStyle name="Output 3 11 2" xfId="2627"/>
    <cellStyle name="Output 3 12" xfId="957"/>
    <cellStyle name="Output 3 12 2" xfId="2684"/>
    <cellStyle name="Output 3 13" xfId="993"/>
    <cellStyle name="Output 3 13 2" xfId="2730"/>
    <cellStyle name="Output 3 14" xfId="1020"/>
    <cellStyle name="Output 3 14 2" xfId="2810"/>
    <cellStyle name="Output 3 15" xfId="1047"/>
    <cellStyle name="Output 3 15 2" xfId="2840"/>
    <cellStyle name="Output 3 16" xfId="1074"/>
    <cellStyle name="Output 3 16 2" xfId="2964"/>
    <cellStyle name="Output 3 17" xfId="1226"/>
    <cellStyle name="Output 3 17 2" xfId="3035"/>
    <cellStyle name="Output 3 18" xfId="1324"/>
    <cellStyle name="Output 3 18 2" xfId="2865"/>
    <cellStyle name="Output 3 19" xfId="1422"/>
    <cellStyle name="Output 3 2" xfId="444"/>
    <cellStyle name="Output 3 2 2" xfId="1277"/>
    <cellStyle name="Output 3 2 3" xfId="1375"/>
    <cellStyle name="Output 3 2 4" xfId="1473"/>
    <cellStyle name="Output 3 2 5" xfId="1571"/>
    <cellStyle name="Output 3 2 6" xfId="1676"/>
    <cellStyle name="Output 3 2 7" xfId="1779"/>
    <cellStyle name="Output 3 2 8" xfId="1882"/>
    <cellStyle name="Output 3 2 9" xfId="1985"/>
    <cellStyle name="Output 3 20" xfId="1520"/>
    <cellStyle name="Output 3 21" xfId="1625"/>
    <cellStyle name="Output 3 22" xfId="1728"/>
    <cellStyle name="Output 3 23" xfId="1831"/>
    <cellStyle name="Output 3 24" xfId="1934"/>
    <cellStyle name="Output 3 3" xfId="507"/>
    <cellStyle name="Output 3 3 2" xfId="2044"/>
    <cellStyle name="Output 3 4" xfId="534"/>
    <cellStyle name="Output 3 4 2" xfId="2103"/>
    <cellStyle name="Output 3 5" xfId="705"/>
    <cellStyle name="Output 3 5 2" xfId="2220"/>
    <cellStyle name="Output 3 6" xfId="741"/>
    <cellStyle name="Output 3 6 2" xfId="2158"/>
    <cellStyle name="Output 3 7" xfId="777"/>
    <cellStyle name="Output 3 7 2" xfId="2450"/>
    <cellStyle name="Output 3 8" xfId="813"/>
    <cellStyle name="Output 3 8 2" xfId="2306"/>
    <cellStyle name="Output 3 9" xfId="849"/>
    <cellStyle name="Output 3 9 2" xfId="2518"/>
    <cellStyle name="Output 4" xfId="342"/>
    <cellStyle name="Output 4 10" xfId="886"/>
    <cellStyle name="Output 4 10 2" xfId="2574"/>
    <cellStyle name="Output 4 11" xfId="922"/>
    <cellStyle name="Output 4 11 2" xfId="2628"/>
    <cellStyle name="Output 4 12" xfId="958"/>
    <cellStyle name="Output 4 12 2" xfId="2685"/>
    <cellStyle name="Output 4 13" xfId="994"/>
    <cellStyle name="Output 4 13 2" xfId="2731"/>
    <cellStyle name="Output 4 14" xfId="1021"/>
    <cellStyle name="Output 4 14 2" xfId="2795"/>
    <cellStyle name="Output 4 15" xfId="1048"/>
    <cellStyle name="Output 4 15 2" xfId="2327"/>
    <cellStyle name="Output 4 16" xfId="1075"/>
    <cellStyle name="Output 4 16 2" xfId="2965"/>
    <cellStyle name="Output 4 17" xfId="1227"/>
    <cellStyle name="Output 4 17 2" xfId="3023"/>
    <cellStyle name="Output 4 18" xfId="1325"/>
    <cellStyle name="Output 4 18 2" xfId="2885"/>
    <cellStyle name="Output 4 19" xfId="1423"/>
    <cellStyle name="Output 4 2" xfId="445"/>
    <cellStyle name="Output 4 2 2" xfId="1278"/>
    <cellStyle name="Output 4 2 3" xfId="1376"/>
    <cellStyle name="Output 4 2 4" xfId="1474"/>
    <cellStyle name="Output 4 2 5" xfId="1572"/>
    <cellStyle name="Output 4 2 6" xfId="1677"/>
    <cellStyle name="Output 4 2 7" xfId="1780"/>
    <cellStyle name="Output 4 2 8" xfId="1883"/>
    <cellStyle name="Output 4 2 9" xfId="1986"/>
    <cellStyle name="Output 4 20" xfId="1521"/>
    <cellStyle name="Output 4 21" xfId="1626"/>
    <cellStyle name="Output 4 22" xfId="1729"/>
    <cellStyle name="Output 4 23" xfId="1832"/>
    <cellStyle name="Output 4 24" xfId="1935"/>
    <cellStyle name="Output 4 3" xfId="508"/>
    <cellStyle name="Output 4 3 2" xfId="2045"/>
    <cellStyle name="Output 4 4" xfId="535"/>
    <cellStyle name="Output 4 4 2" xfId="2104"/>
    <cellStyle name="Output 4 5" xfId="706"/>
    <cellStyle name="Output 4 5 2" xfId="2221"/>
    <cellStyle name="Output 4 6" xfId="742"/>
    <cellStyle name="Output 4 6 2" xfId="2157"/>
    <cellStyle name="Output 4 7" xfId="778"/>
    <cellStyle name="Output 4 7 2" xfId="2451"/>
    <cellStyle name="Output 4 8" xfId="814"/>
    <cellStyle name="Output 4 8 2" xfId="2305"/>
    <cellStyle name="Output 4 9" xfId="850"/>
    <cellStyle name="Output 4 9 2" xfId="2519"/>
    <cellStyle name="Output 5" xfId="343"/>
    <cellStyle name="Output 5 10" xfId="887"/>
    <cellStyle name="Output 5 10 2" xfId="2575"/>
    <cellStyle name="Output 5 11" xfId="923"/>
    <cellStyle name="Output 5 11 2" xfId="2629"/>
    <cellStyle name="Output 5 12" xfId="959"/>
    <cellStyle name="Output 5 12 2" xfId="2686"/>
    <cellStyle name="Output 5 13" xfId="995"/>
    <cellStyle name="Output 5 13 2" xfId="2634"/>
    <cellStyle name="Output 5 14" xfId="1022"/>
    <cellStyle name="Output 5 14 2" xfId="2770"/>
    <cellStyle name="Output 5 15" xfId="1049"/>
    <cellStyle name="Output 5 15 2" xfId="2344"/>
    <cellStyle name="Output 5 16" xfId="1076"/>
    <cellStyle name="Output 5 16 2" xfId="2966"/>
    <cellStyle name="Output 5 17" xfId="1228"/>
    <cellStyle name="Output 5 17 2" xfId="3012"/>
    <cellStyle name="Output 5 18" xfId="1326"/>
    <cellStyle name="Output 5 18 2" xfId="3049"/>
    <cellStyle name="Output 5 19" xfId="1424"/>
    <cellStyle name="Output 5 2" xfId="446"/>
    <cellStyle name="Output 5 2 2" xfId="1279"/>
    <cellStyle name="Output 5 2 3" xfId="1377"/>
    <cellStyle name="Output 5 2 4" xfId="1475"/>
    <cellStyle name="Output 5 2 5" xfId="1573"/>
    <cellStyle name="Output 5 2 6" xfId="1678"/>
    <cellStyle name="Output 5 2 7" xfId="1781"/>
    <cellStyle name="Output 5 2 8" xfId="1884"/>
    <cellStyle name="Output 5 2 9" xfId="1987"/>
    <cellStyle name="Output 5 20" xfId="1522"/>
    <cellStyle name="Output 5 21" xfId="1627"/>
    <cellStyle name="Output 5 22" xfId="1730"/>
    <cellStyle name="Output 5 23" xfId="1833"/>
    <cellStyle name="Output 5 24" xfId="1936"/>
    <cellStyle name="Output 5 3" xfId="509"/>
    <cellStyle name="Output 5 3 2" xfId="2046"/>
    <cellStyle name="Output 5 4" xfId="536"/>
    <cellStyle name="Output 5 4 2" xfId="2105"/>
    <cellStyle name="Output 5 5" xfId="707"/>
    <cellStyle name="Output 5 5 2" xfId="2222"/>
    <cellStyle name="Output 5 6" xfId="743"/>
    <cellStyle name="Output 5 6 2" xfId="2156"/>
    <cellStyle name="Output 5 7" xfId="779"/>
    <cellStyle name="Output 5 7 2" xfId="2452"/>
    <cellStyle name="Output 5 8" xfId="815"/>
    <cellStyle name="Output 5 8 2" xfId="2304"/>
    <cellStyle name="Output 5 9" xfId="851"/>
    <cellStyle name="Output 5 9 2" xfId="2520"/>
    <cellStyle name="Output 6" xfId="344"/>
    <cellStyle name="Output 6 10" xfId="888"/>
    <cellStyle name="Output 6 10 2" xfId="2576"/>
    <cellStyle name="Output 6 11" xfId="924"/>
    <cellStyle name="Output 6 11 2" xfId="2630"/>
    <cellStyle name="Output 6 12" xfId="960"/>
    <cellStyle name="Output 6 12 2" xfId="2687"/>
    <cellStyle name="Output 6 13" xfId="996"/>
    <cellStyle name="Output 6 13 2" xfId="2635"/>
    <cellStyle name="Output 6 14" xfId="1023"/>
    <cellStyle name="Output 6 14 2" xfId="2824"/>
    <cellStyle name="Output 6 15" xfId="1050"/>
    <cellStyle name="Output 6 15 2" xfId="2368"/>
    <cellStyle name="Output 6 16" xfId="1077"/>
    <cellStyle name="Output 6 16 2" xfId="2967"/>
    <cellStyle name="Output 6 17" xfId="1229"/>
    <cellStyle name="Output 6 17 2" xfId="2990"/>
    <cellStyle name="Output 6 18" xfId="1327"/>
    <cellStyle name="Output 6 18 2" xfId="2859"/>
    <cellStyle name="Output 6 19" xfId="1425"/>
    <cellStyle name="Output 6 2" xfId="447"/>
    <cellStyle name="Output 6 2 2" xfId="1280"/>
    <cellStyle name="Output 6 2 3" xfId="1378"/>
    <cellStyle name="Output 6 2 4" xfId="1476"/>
    <cellStyle name="Output 6 2 5" xfId="1574"/>
    <cellStyle name="Output 6 2 6" xfId="1679"/>
    <cellStyle name="Output 6 2 7" xfId="1782"/>
    <cellStyle name="Output 6 2 8" xfId="1885"/>
    <cellStyle name="Output 6 2 9" xfId="1988"/>
    <cellStyle name="Output 6 20" xfId="1523"/>
    <cellStyle name="Output 6 21" xfId="1628"/>
    <cellStyle name="Output 6 22" xfId="1731"/>
    <cellStyle name="Output 6 23" xfId="1834"/>
    <cellStyle name="Output 6 24" xfId="1937"/>
    <cellStyle name="Output 6 3" xfId="510"/>
    <cellStyle name="Output 6 3 2" xfId="2047"/>
    <cellStyle name="Output 6 4" xfId="537"/>
    <cellStyle name="Output 6 4 2" xfId="2106"/>
    <cellStyle name="Output 6 5" xfId="708"/>
    <cellStyle name="Output 6 5 2" xfId="2223"/>
    <cellStyle name="Output 6 6" xfId="744"/>
    <cellStyle name="Output 6 6 2" xfId="2155"/>
    <cellStyle name="Output 6 7" xfId="780"/>
    <cellStyle name="Output 6 7 2" xfId="2453"/>
    <cellStyle name="Output 6 8" xfId="816"/>
    <cellStyle name="Output 6 8 2" xfId="2303"/>
    <cellStyle name="Output 6 9" xfId="852"/>
    <cellStyle name="Output 6 9 2" xfId="2521"/>
    <cellStyle name="Output 7" xfId="345"/>
    <cellStyle name="Output 7 10" xfId="889"/>
    <cellStyle name="Output 7 10 2" xfId="2577"/>
    <cellStyle name="Output 7 11" xfId="925"/>
    <cellStyle name="Output 7 11 2" xfId="2631"/>
    <cellStyle name="Output 7 12" xfId="961"/>
    <cellStyle name="Output 7 12 2" xfId="2688"/>
    <cellStyle name="Output 7 13" xfId="997"/>
    <cellStyle name="Output 7 13 2" xfId="2636"/>
    <cellStyle name="Output 7 14" xfId="1024"/>
    <cellStyle name="Output 7 14 2" xfId="2809"/>
    <cellStyle name="Output 7 15" xfId="1051"/>
    <cellStyle name="Output 7 15 2" xfId="2839"/>
    <cellStyle name="Output 7 16" xfId="1078"/>
    <cellStyle name="Output 7 16 2" xfId="2968"/>
    <cellStyle name="Output 7 17" xfId="1230"/>
    <cellStyle name="Output 7 17 2" xfId="3034"/>
    <cellStyle name="Output 7 18" xfId="1328"/>
    <cellStyle name="Output 7 18 2" xfId="2866"/>
    <cellStyle name="Output 7 19" xfId="1426"/>
    <cellStyle name="Output 7 2" xfId="448"/>
    <cellStyle name="Output 7 2 2" xfId="1281"/>
    <cellStyle name="Output 7 2 3" xfId="1379"/>
    <cellStyle name="Output 7 2 4" xfId="1477"/>
    <cellStyle name="Output 7 2 5" xfId="1575"/>
    <cellStyle name="Output 7 2 6" xfId="1680"/>
    <cellStyle name="Output 7 2 7" xfId="1783"/>
    <cellStyle name="Output 7 2 8" xfId="1886"/>
    <cellStyle name="Output 7 2 9" xfId="1989"/>
    <cellStyle name="Output 7 20" xfId="1524"/>
    <cellStyle name="Output 7 21" xfId="1629"/>
    <cellStyle name="Output 7 22" xfId="1732"/>
    <cellStyle name="Output 7 23" xfId="1835"/>
    <cellStyle name="Output 7 24" xfId="1938"/>
    <cellStyle name="Output 7 3" xfId="511"/>
    <cellStyle name="Output 7 3 2" xfId="2048"/>
    <cellStyle name="Output 7 4" xfId="538"/>
    <cellStyle name="Output 7 4 2" xfId="2107"/>
    <cellStyle name="Output 7 5" xfId="709"/>
    <cellStyle name="Output 7 5 2" xfId="2224"/>
    <cellStyle name="Output 7 6" xfId="745"/>
    <cellStyle name="Output 7 6 2" xfId="2154"/>
    <cellStyle name="Output 7 7" xfId="781"/>
    <cellStyle name="Output 7 7 2" xfId="2454"/>
    <cellStyle name="Output 7 8" xfId="817"/>
    <cellStyle name="Output 7 8 2" xfId="2302"/>
    <cellStyle name="Output 7 9" xfId="853"/>
    <cellStyle name="Output 7 9 2" xfId="2522"/>
    <cellStyle name="Output 8" xfId="346"/>
    <cellStyle name="Output 8 10" xfId="890"/>
    <cellStyle name="Output 8 10 2" xfId="2578"/>
    <cellStyle name="Output 8 11" xfId="926"/>
    <cellStyle name="Output 8 11 2" xfId="2632"/>
    <cellStyle name="Output 8 12" xfId="962"/>
    <cellStyle name="Output 8 12 2" xfId="2689"/>
    <cellStyle name="Output 8 13" xfId="998"/>
    <cellStyle name="Output 8 13 2" xfId="2637"/>
    <cellStyle name="Output 8 14" xfId="1025"/>
    <cellStyle name="Output 8 14 2" xfId="2794"/>
    <cellStyle name="Output 8 15" xfId="1052"/>
    <cellStyle name="Output 8 15 2" xfId="2328"/>
    <cellStyle name="Output 8 16" xfId="1079"/>
    <cellStyle name="Output 8 16 2" xfId="2969"/>
    <cellStyle name="Output 8 17" xfId="1231"/>
    <cellStyle name="Output 8 17 2" xfId="3022"/>
    <cellStyle name="Output 8 18" xfId="1329"/>
    <cellStyle name="Output 8 18 2" xfId="2886"/>
    <cellStyle name="Output 8 19" xfId="1427"/>
    <cellStyle name="Output 8 2" xfId="449"/>
    <cellStyle name="Output 8 2 2" xfId="1282"/>
    <cellStyle name="Output 8 2 3" xfId="1380"/>
    <cellStyle name="Output 8 2 4" xfId="1478"/>
    <cellStyle name="Output 8 2 5" xfId="1576"/>
    <cellStyle name="Output 8 2 6" xfId="1681"/>
    <cellStyle name="Output 8 2 7" xfId="1784"/>
    <cellStyle name="Output 8 2 8" xfId="1887"/>
    <cellStyle name="Output 8 2 9" xfId="1990"/>
    <cellStyle name="Output 8 20" xfId="1525"/>
    <cellStyle name="Output 8 21" xfId="1630"/>
    <cellStyle name="Output 8 22" xfId="1733"/>
    <cellStyle name="Output 8 23" xfId="1836"/>
    <cellStyle name="Output 8 24" xfId="1939"/>
    <cellStyle name="Output 8 3" xfId="512"/>
    <cellStyle name="Output 8 3 2" xfId="2049"/>
    <cellStyle name="Output 8 4" xfId="539"/>
    <cellStyle name="Output 8 4 2" xfId="2108"/>
    <cellStyle name="Output 8 5" xfId="710"/>
    <cellStyle name="Output 8 5 2" xfId="2225"/>
    <cellStyle name="Output 8 6" xfId="746"/>
    <cellStyle name="Output 8 6 2" xfId="2153"/>
    <cellStyle name="Output 8 7" xfId="782"/>
    <cellStyle name="Output 8 7 2" xfId="2455"/>
    <cellStyle name="Output 8 8" xfId="818"/>
    <cellStyle name="Output 8 8 2" xfId="2301"/>
    <cellStyle name="Output 8 9" xfId="854"/>
    <cellStyle name="Output 8 9 2" xfId="2523"/>
    <cellStyle name="Output 9" xfId="347"/>
    <cellStyle name="Output 9 10" xfId="891"/>
    <cellStyle name="Output 9 10 2" xfId="2579"/>
    <cellStyle name="Output 9 11" xfId="927"/>
    <cellStyle name="Output 9 11 2" xfId="2633"/>
    <cellStyle name="Output 9 12" xfId="963"/>
    <cellStyle name="Output 9 12 2" xfId="2690"/>
    <cellStyle name="Output 9 13" xfId="999"/>
    <cellStyle name="Output 9 13 2" xfId="2638"/>
    <cellStyle name="Output 9 14" xfId="1026"/>
    <cellStyle name="Output 9 14 2" xfId="2769"/>
    <cellStyle name="Output 9 15" xfId="1053"/>
    <cellStyle name="Output 9 15 2" xfId="2345"/>
    <cellStyle name="Output 9 16" xfId="1080"/>
    <cellStyle name="Output 9 16 2" xfId="2970"/>
    <cellStyle name="Output 9 17" xfId="1232"/>
    <cellStyle name="Output 9 17 2" xfId="3011"/>
    <cellStyle name="Output 9 18" xfId="1330"/>
    <cellStyle name="Output 9 18 2" xfId="3048"/>
    <cellStyle name="Output 9 19" xfId="1428"/>
    <cellStyle name="Output 9 2" xfId="450"/>
    <cellStyle name="Output 9 2 2" xfId="1283"/>
    <cellStyle name="Output 9 2 3" xfId="1381"/>
    <cellStyle name="Output 9 2 4" xfId="1479"/>
    <cellStyle name="Output 9 2 5" xfId="1577"/>
    <cellStyle name="Output 9 2 6" xfId="1682"/>
    <cellStyle name="Output 9 2 7" xfId="1785"/>
    <cellStyle name="Output 9 2 8" xfId="1888"/>
    <cellStyle name="Output 9 2 9" xfId="1991"/>
    <cellStyle name="Output 9 20" xfId="1526"/>
    <cellStyle name="Output 9 21" xfId="1631"/>
    <cellStyle name="Output 9 22" xfId="1734"/>
    <cellStyle name="Output 9 23" xfId="1837"/>
    <cellStyle name="Output 9 24" xfId="1940"/>
    <cellStyle name="Output 9 3" xfId="513"/>
    <cellStyle name="Output 9 3 2" xfId="2050"/>
    <cellStyle name="Output 9 4" xfId="540"/>
    <cellStyle name="Output 9 4 2" xfId="2109"/>
    <cellStyle name="Output 9 5" xfId="711"/>
    <cellStyle name="Output 9 5 2" xfId="2226"/>
    <cellStyle name="Output 9 6" xfId="747"/>
    <cellStyle name="Output 9 6 2" xfId="2152"/>
    <cellStyle name="Output 9 7" xfId="783"/>
    <cellStyle name="Output 9 7 2" xfId="2456"/>
    <cellStyle name="Output 9 8" xfId="819"/>
    <cellStyle name="Output 9 8 2" xfId="2300"/>
    <cellStyle name="Output 9 9" xfId="855"/>
    <cellStyle name="Output 9 9 2" xfId="2524"/>
    <cellStyle name="Style 1" xfId="1595"/>
    <cellStyle name="Title 10" xfId="348"/>
    <cellStyle name="Title 2" xfId="349"/>
    <cellStyle name="Title 3" xfId="350"/>
    <cellStyle name="Title 4" xfId="351"/>
    <cellStyle name="Title 5" xfId="352"/>
    <cellStyle name="Title 6" xfId="353"/>
    <cellStyle name="Title 7" xfId="354"/>
    <cellStyle name="Title 8" xfId="355"/>
    <cellStyle name="Title 9" xfId="356"/>
    <cellStyle name="Total 10" xfId="357"/>
    <cellStyle name="Total 10 10" xfId="897"/>
    <cellStyle name="Total 10 10 2" xfId="2296"/>
    <cellStyle name="Total 10 11" xfId="933"/>
    <cellStyle name="Total 10 11 2" xfId="2525"/>
    <cellStyle name="Total 10 12" xfId="969"/>
    <cellStyle name="Total 10 12 2" xfId="2580"/>
    <cellStyle name="Total 10 13" xfId="1000"/>
    <cellStyle name="Total 10 13 2" xfId="2732"/>
    <cellStyle name="Total 10 14" xfId="1027"/>
    <cellStyle name="Total 10 14 2" xfId="2713"/>
    <cellStyle name="Total 10 15" xfId="1054"/>
    <cellStyle name="Total 10 15 2" xfId="2779"/>
    <cellStyle name="Total 10 16" xfId="1081"/>
    <cellStyle name="Total 10 16 2" xfId="2971"/>
    <cellStyle name="Total 10 17" xfId="1233"/>
    <cellStyle name="Total 10 17 2" xfId="2903"/>
    <cellStyle name="Total 10 18" xfId="1331"/>
    <cellStyle name="Total 10 18 2" xfId="2867"/>
    <cellStyle name="Total 10 19" xfId="1429"/>
    <cellStyle name="Total 10 2" xfId="451"/>
    <cellStyle name="Total 10 2 2" xfId="1284"/>
    <cellStyle name="Total 10 2 3" xfId="1382"/>
    <cellStyle name="Total 10 2 4" xfId="1480"/>
    <cellStyle name="Total 10 2 5" xfId="1578"/>
    <cellStyle name="Total 10 2 6" xfId="1683"/>
    <cellStyle name="Total 10 2 7" xfId="1786"/>
    <cellStyle name="Total 10 2 8" xfId="1889"/>
    <cellStyle name="Total 10 2 9" xfId="1992"/>
    <cellStyle name="Total 10 20" xfId="1527"/>
    <cellStyle name="Total 10 21" xfId="1632"/>
    <cellStyle name="Total 10 22" xfId="1735"/>
    <cellStyle name="Total 10 23" xfId="1838"/>
    <cellStyle name="Total 10 24" xfId="1941"/>
    <cellStyle name="Total 10 3" xfId="514"/>
    <cellStyle name="Total 10 3 2" xfId="2051"/>
    <cellStyle name="Total 10 4" xfId="541"/>
    <cellStyle name="Total 10 4 2" xfId="2110"/>
    <cellStyle name="Total 10 5" xfId="717"/>
    <cellStyle name="Total 10 5 2" xfId="2227"/>
    <cellStyle name="Total 10 6" xfId="753"/>
    <cellStyle name="Total 10 6 2" xfId="2151"/>
    <cellStyle name="Total 10 7" xfId="789"/>
    <cellStyle name="Total 10 7 2" xfId="2466"/>
    <cellStyle name="Total 10 8" xfId="825"/>
    <cellStyle name="Total 10 8 2" xfId="2290"/>
    <cellStyle name="Total 10 9" xfId="861"/>
    <cellStyle name="Total 10 9 2" xfId="2460"/>
    <cellStyle name="Total 2" xfId="358"/>
    <cellStyle name="Total 2 10" xfId="898"/>
    <cellStyle name="Total 2 10 2" xfId="2295"/>
    <cellStyle name="Total 2 11" xfId="934"/>
    <cellStyle name="Total 2 11 2" xfId="2526"/>
    <cellStyle name="Total 2 12" xfId="970"/>
    <cellStyle name="Total 2 12 2" xfId="2581"/>
    <cellStyle name="Total 2 13" xfId="1001"/>
    <cellStyle name="Total 2 13 2" xfId="2733"/>
    <cellStyle name="Total 2 14" xfId="1028"/>
    <cellStyle name="Total 2 14 2" xfId="2712"/>
    <cellStyle name="Total 2 15" xfId="1055"/>
    <cellStyle name="Total 2 15 2" xfId="2803"/>
    <cellStyle name="Total 2 16" xfId="1082"/>
    <cellStyle name="Total 2 16 2" xfId="2972"/>
    <cellStyle name="Total 2 17" xfId="1234"/>
    <cellStyle name="Total 2 17 2" xfId="2902"/>
    <cellStyle name="Total 2 18" xfId="1332"/>
    <cellStyle name="Total 2 18 2" xfId="2887"/>
    <cellStyle name="Total 2 19" xfId="1430"/>
    <cellStyle name="Total 2 2" xfId="452"/>
    <cellStyle name="Total 2 2 2" xfId="1285"/>
    <cellStyle name="Total 2 2 3" xfId="1383"/>
    <cellStyle name="Total 2 2 4" xfId="1481"/>
    <cellStyle name="Total 2 2 5" xfId="1579"/>
    <cellStyle name="Total 2 2 6" xfId="1684"/>
    <cellStyle name="Total 2 2 7" xfId="1787"/>
    <cellStyle name="Total 2 2 8" xfId="1890"/>
    <cellStyle name="Total 2 2 9" xfId="1993"/>
    <cellStyle name="Total 2 20" xfId="1528"/>
    <cellStyle name="Total 2 21" xfId="1633"/>
    <cellStyle name="Total 2 22" xfId="1736"/>
    <cellStyle name="Total 2 23" xfId="1839"/>
    <cellStyle name="Total 2 24" xfId="1942"/>
    <cellStyle name="Total 2 3" xfId="515"/>
    <cellStyle name="Total 2 3 2" xfId="2052"/>
    <cellStyle name="Total 2 4" xfId="542"/>
    <cellStyle name="Total 2 4 2" xfId="2111"/>
    <cellStyle name="Total 2 5" xfId="718"/>
    <cellStyle name="Total 2 5 2" xfId="2228"/>
    <cellStyle name="Total 2 6" xfId="754"/>
    <cellStyle name="Total 2 6 2" xfId="2150"/>
    <cellStyle name="Total 2 7" xfId="790"/>
    <cellStyle name="Total 2 7 2" xfId="2467"/>
    <cellStyle name="Total 2 8" xfId="826"/>
    <cellStyle name="Total 2 8 2" xfId="2289"/>
    <cellStyle name="Total 2 9" xfId="862"/>
    <cellStyle name="Total 2 9 2" xfId="2461"/>
    <cellStyle name="Total 3" xfId="359"/>
    <cellStyle name="Total 3 10" xfId="899"/>
    <cellStyle name="Total 3 10 2" xfId="2294"/>
    <cellStyle name="Total 3 11" xfId="935"/>
    <cellStyle name="Total 3 11 2" xfId="2527"/>
    <cellStyle name="Total 3 12" xfId="971"/>
    <cellStyle name="Total 3 12 2" xfId="2582"/>
    <cellStyle name="Total 3 13" xfId="1002"/>
    <cellStyle name="Total 3 13 2" xfId="2734"/>
    <cellStyle name="Total 3 14" xfId="1029"/>
    <cellStyle name="Total 3 14 2" xfId="2711"/>
    <cellStyle name="Total 3 15" xfId="1056"/>
    <cellStyle name="Total 3 15 2" xfId="2818"/>
    <cellStyle name="Total 3 16" xfId="1083"/>
    <cellStyle name="Total 3 16 2" xfId="2973"/>
    <cellStyle name="Total 3 17" xfId="1235"/>
    <cellStyle name="Total 3 17 2" xfId="2901"/>
    <cellStyle name="Total 3 18" xfId="1333"/>
    <cellStyle name="Total 3 18 2" xfId="3047"/>
    <cellStyle name="Total 3 19" xfId="1431"/>
    <cellStyle name="Total 3 2" xfId="453"/>
    <cellStyle name="Total 3 2 2" xfId="1286"/>
    <cellStyle name="Total 3 2 3" xfId="1384"/>
    <cellStyle name="Total 3 2 4" xfId="1482"/>
    <cellStyle name="Total 3 2 5" xfId="1580"/>
    <cellStyle name="Total 3 2 6" xfId="1685"/>
    <cellStyle name="Total 3 2 7" xfId="1788"/>
    <cellStyle name="Total 3 2 8" xfId="1891"/>
    <cellStyle name="Total 3 2 9" xfId="1994"/>
    <cellStyle name="Total 3 20" xfId="1529"/>
    <cellStyle name="Total 3 21" xfId="1634"/>
    <cellStyle name="Total 3 22" xfId="1737"/>
    <cellStyle name="Total 3 23" xfId="1840"/>
    <cellStyle name="Total 3 24" xfId="1943"/>
    <cellStyle name="Total 3 3" xfId="516"/>
    <cellStyle name="Total 3 3 2" xfId="2053"/>
    <cellStyle name="Total 3 4" xfId="543"/>
    <cellStyle name="Total 3 4 2" xfId="2112"/>
    <cellStyle name="Total 3 5" xfId="719"/>
    <cellStyle name="Total 3 5 2" xfId="2229"/>
    <cellStyle name="Total 3 6" xfId="755"/>
    <cellStyle name="Total 3 6 2" xfId="2149"/>
    <cellStyle name="Total 3 7" xfId="791"/>
    <cellStyle name="Total 3 7 2" xfId="2468"/>
    <cellStyle name="Total 3 8" xfId="827"/>
    <cellStyle name="Total 3 8 2" xfId="2288"/>
    <cellStyle name="Total 3 9" xfId="863"/>
    <cellStyle name="Total 3 9 2" xfId="2462"/>
    <cellStyle name="Total 4" xfId="360"/>
    <cellStyle name="Total 4 10" xfId="900"/>
    <cellStyle name="Total 4 10 2" xfId="2293"/>
    <cellStyle name="Total 4 11" xfId="936"/>
    <cellStyle name="Total 4 11 2" xfId="2457"/>
    <cellStyle name="Total 4 12" xfId="972"/>
    <cellStyle name="Total 4 12 2" xfId="2299"/>
    <cellStyle name="Total 4 13" xfId="1003"/>
    <cellStyle name="Total 4 13 2" xfId="2735"/>
    <cellStyle name="Total 4 14" xfId="1030"/>
    <cellStyle name="Total 4 14 2" xfId="2710"/>
    <cellStyle name="Total 4 15" xfId="1057"/>
    <cellStyle name="Total 4 15 2" xfId="2834"/>
    <cellStyle name="Total 4 16" xfId="1084"/>
    <cellStyle name="Total 4 16 2" xfId="2974"/>
    <cellStyle name="Total 4 17" xfId="1236"/>
    <cellStyle name="Total 4 17 2" xfId="2900"/>
    <cellStyle name="Total 4 18" xfId="1334"/>
    <cellStyle name="Total 4 18 2" xfId="2860"/>
    <cellStyle name="Total 4 19" xfId="1432"/>
    <cellStyle name="Total 4 2" xfId="454"/>
    <cellStyle name="Total 4 2 2" xfId="1287"/>
    <cellStyle name="Total 4 2 3" xfId="1385"/>
    <cellStyle name="Total 4 2 4" xfId="1483"/>
    <cellStyle name="Total 4 2 5" xfId="1581"/>
    <cellStyle name="Total 4 2 6" xfId="1686"/>
    <cellStyle name="Total 4 2 7" xfId="1789"/>
    <cellStyle name="Total 4 2 8" xfId="1892"/>
    <cellStyle name="Total 4 2 9" xfId="1995"/>
    <cellStyle name="Total 4 20" xfId="1530"/>
    <cellStyle name="Total 4 21" xfId="1635"/>
    <cellStyle name="Total 4 22" xfId="1738"/>
    <cellStyle name="Total 4 23" xfId="1841"/>
    <cellStyle name="Total 4 24" xfId="1944"/>
    <cellStyle name="Total 4 3" xfId="517"/>
    <cellStyle name="Total 4 3 2" xfId="2054"/>
    <cellStyle name="Total 4 4" xfId="544"/>
    <cellStyle name="Total 4 4 2" xfId="2113"/>
    <cellStyle name="Total 4 5" xfId="720"/>
    <cellStyle name="Total 4 5 2" xfId="2230"/>
    <cellStyle name="Total 4 6" xfId="756"/>
    <cellStyle name="Total 4 6 2" xfId="2148"/>
    <cellStyle name="Total 4 7" xfId="792"/>
    <cellStyle name="Total 4 7 2" xfId="2469"/>
    <cellStyle name="Total 4 8" xfId="828"/>
    <cellStyle name="Total 4 8 2" xfId="2287"/>
    <cellStyle name="Total 4 9" xfId="864"/>
    <cellStyle name="Total 4 9 2" xfId="2463"/>
    <cellStyle name="Total 5" xfId="361"/>
    <cellStyle name="Total 5 10" xfId="901"/>
    <cellStyle name="Total 5 10 2" xfId="2292"/>
    <cellStyle name="Total 5 11" xfId="937"/>
    <cellStyle name="Total 5 11 2" xfId="2458"/>
    <cellStyle name="Total 5 12" xfId="973"/>
    <cellStyle name="Total 5 12 2" xfId="2298"/>
    <cellStyle name="Total 5 13" xfId="1004"/>
    <cellStyle name="Total 5 13 2" xfId="2642"/>
    <cellStyle name="Total 5 14" xfId="1031"/>
    <cellStyle name="Total 5 14 2" xfId="2384"/>
    <cellStyle name="Total 5 15" xfId="1058"/>
    <cellStyle name="Total 5 15 2" xfId="2430"/>
    <cellStyle name="Total 5 16" xfId="1085"/>
    <cellStyle name="Total 5 16 2" xfId="2975"/>
    <cellStyle name="Total 5 17" xfId="1237"/>
    <cellStyle name="Total 5 17 2" xfId="2899"/>
    <cellStyle name="Total 5 18" xfId="1335"/>
    <cellStyle name="Total 5 18 2" xfId="2868"/>
    <cellStyle name="Total 5 19" xfId="1433"/>
    <cellStyle name="Total 5 2" xfId="455"/>
    <cellStyle name="Total 5 2 2" xfId="1288"/>
    <cellStyle name="Total 5 2 3" xfId="1386"/>
    <cellStyle name="Total 5 2 4" xfId="1484"/>
    <cellStyle name="Total 5 2 5" xfId="1582"/>
    <cellStyle name="Total 5 2 6" xfId="1687"/>
    <cellStyle name="Total 5 2 7" xfId="1790"/>
    <cellStyle name="Total 5 2 8" xfId="1893"/>
    <cellStyle name="Total 5 2 9" xfId="1996"/>
    <cellStyle name="Total 5 20" xfId="1531"/>
    <cellStyle name="Total 5 21" xfId="1636"/>
    <cellStyle name="Total 5 22" xfId="1739"/>
    <cellStyle name="Total 5 23" xfId="1842"/>
    <cellStyle name="Total 5 24" xfId="1945"/>
    <cellStyle name="Total 5 3" xfId="518"/>
    <cellStyle name="Total 5 3 2" xfId="2055"/>
    <cellStyle name="Total 5 4" xfId="545"/>
    <cellStyle name="Total 5 4 2" xfId="2114"/>
    <cellStyle name="Total 5 5" xfId="721"/>
    <cellStyle name="Total 5 5 2" xfId="2231"/>
    <cellStyle name="Total 5 6" xfId="757"/>
    <cellStyle name="Total 5 6 2" xfId="2147"/>
    <cellStyle name="Total 5 7" xfId="793"/>
    <cellStyle name="Total 5 7 2" xfId="2470"/>
    <cellStyle name="Total 5 8" xfId="829"/>
    <cellStyle name="Total 5 8 2" xfId="2286"/>
    <cellStyle name="Total 5 9" xfId="865"/>
    <cellStyle name="Total 5 9 2" xfId="2464"/>
    <cellStyle name="Total 6" xfId="362"/>
    <cellStyle name="Total 6 10" xfId="902"/>
    <cellStyle name="Total 6 10 2" xfId="2291"/>
    <cellStyle name="Total 6 11" xfId="938"/>
    <cellStyle name="Total 6 11 2" xfId="2459"/>
    <cellStyle name="Total 6 12" xfId="974"/>
    <cellStyle name="Total 6 12 2" xfId="2297"/>
    <cellStyle name="Total 6 13" xfId="1005"/>
    <cellStyle name="Total 6 13 2" xfId="2643"/>
    <cellStyle name="Total 6 14" xfId="1032"/>
    <cellStyle name="Total 6 14 2" xfId="2383"/>
    <cellStyle name="Total 6 15" xfId="1059"/>
    <cellStyle name="Total 6 15 2" xfId="2431"/>
    <cellStyle name="Total 6 16" xfId="1086"/>
    <cellStyle name="Total 6 16 2" xfId="2976"/>
    <cellStyle name="Total 6 17" xfId="1238"/>
    <cellStyle name="Total 6 17 2" xfId="2898"/>
    <cellStyle name="Total 6 18" xfId="1336"/>
    <cellStyle name="Total 6 18 2" xfId="2888"/>
    <cellStyle name="Total 6 19" xfId="1434"/>
    <cellStyle name="Total 6 2" xfId="456"/>
    <cellStyle name="Total 6 2 2" xfId="1289"/>
    <cellStyle name="Total 6 2 3" xfId="1387"/>
    <cellStyle name="Total 6 2 4" xfId="1485"/>
    <cellStyle name="Total 6 2 5" xfId="1583"/>
    <cellStyle name="Total 6 2 6" xfId="1688"/>
    <cellStyle name="Total 6 2 7" xfId="1791"/>
    <cellStyle name="Total 6 2 8" xfId="1894"/>
    <cellStyle name="Total 6 2 9" xfId="1997"/>
    <cellStyle name="Total 6 20" xfId="1532"/>
    <cellStyle name="Total 6 21" xfId="1637"/>
    <cellStyle name="Total 6 22" xfId="1740"/>
    <cellStyle name="Total 6 23" xfId="1843"/>
    <cellStyle name="Total 6 24" xfId="1946"/>
    <cellStyle name="Total 6 3" xfId="519"/>
    <cellStyle name="Total 6 3 2" xfId="2056"/>
    <cellStyle name="Total 6 4" xfId="546"/>
    <cellStyle name="Total 6 4 2" xfId="2115"/>
    <cellStyle name="Total 6 5" xfId="722"/>
    <cellStyle name="Total 6 5 2" xfId="2232"/>
    <cellStyle name="Total 6 6" xfId="758"/>
    <cellStyle name="Total 6 6 2" xfId="2146"/>
    <cellStyle name="Total 6 7" xfId="794"/>
    <cellStyle name="Total 6 7 2" xfId="2471"/>
    <cellStyle name="Total 6 8" xfId="830"/>
    <cellStyle name="Total 6 8 2" xfId="2285"/>
    <cellStyle name="Total 6 9" xfId="866"/>
    <cellStyle name="Total 6 9 2" xfId="2465"/>
    <cellStyle name="Total 7" xfId="363"/>
    <cellStyle name="Total 7 10" xfId="903"/>
    <cellStyle name="Total 7 10 2" xfId="2583"/>
    <cellStyle name="Total 7 11" xfId="939"/>
    <cellStyle name="Total 7 11 2" xfId="2639"/>
    <cellStyle name="Total 7 12" xfId="975"/>
    <cellStyle name="Total 7 12 2" xfId="2691"/>
    <cellStyle name="Total 7 13" xfId="1006"/>
    <cellStyle name="Total 7 13 2" xfId="2644"/>
    <cellStyle name="Total 7 14" xfId="1033"/>
    <cellStyle name="Total 7 14 2" xfId="2382"/>
    <cellStyle name="Total 7 15" xfId="1060"/>
    <cellStyle name="Total 7 15 2" xfId="2432"/>
    <cellStyle name="Total 7 16" xfId="1087"/>
    <cellStyle name="Total 7 16 2" xfId="2977"/>
    <cellStyle name="Total 7 17" xfId="1239"/>
    <cellStyle name="Total 7 17 2" xfId="2897"/>
    <cellStyle name="Total 7 18" xfId="1337"/>
    <cellStyle name="Total 7 18 2" xfId="3019"/>
    <cellStyle name="Total 7 19" xfId="1435"/>
    <cellStyle name="Total 7 2" xfId="457"/>
    <cellStyle name="Total 7 2 2" xfId="1290"/>
    <cellStyle name="Total 7 2 3" xfId="1388"/>
    <cellStyle name="Total 7 2 4" xfId="1486"/>
    <cellStyle name="Total 7 2 5" xfId="1584"/>
    <cellStyle name="Total 7 2 6" xfId="1689"/>
    <cellStyle name="Total 7 2 7" xfId="1792"/>
    <cellStyle name="Total 7 2 8" xfId="1895"/>
    <cellStyle name="Total 7 2 9" xfId="1998"/>
    <cellStyle name="Total 7 20" xfId="1533"/>
    <cellStyle name="Total 7 21" xfId="1638"/>
    <cellStyle name="Total 7 22" xfId="1741"/>
    <cellStyle name="Total 7 23" xfId="1844"/>
    <cellStyle name="Total 7 24" xfId="1947"/>
    <cellStyle name="Total 7 3" xfId="520"/>
    <cellStyle name="Total 7 3 2" xfId="2057"/>
    <cellStyle name="Total 7 4" xfId="547"/>
    <cellStyle name="Total 7 4 2" xfId="2116"/>
    <cellStyle name="Total 7 5" xfId="723"/>
    <cellStyle name="Total 7 5 2" xfId="2233"/>
    <cellStyle name="Total 7 6" xfId="759"/>
    <cellStyle name="Total 7 6 2" xfId="2145"/>
    <cellStyle name="Total 7 7" xfId="795"/>
    <cellStyle name="Total 7 7 2" xfId="2472"/>
    <cellStyle name="Total 7 8" xfId="831"/>
    <cellStyle name="Total 7 8 2" xfId="2284"/>
    <cellStyle name="Total 7 9" xfId="867"/>
    <cellStyle name="Total 7 9 2" xfId="2528"/>
    <cellStyle name="Total 8" xfId="364"/>
    <cellStyle name="Total 8 10" xfId="904"/>
    <cellStyle name="Total 8 10 2" xfId="2584"/>
    <cellStyle name="Total 8 11" xfId="940"/>
    <cellStyle name="Total 8 11 2" xfId="2640"/>
    <cellStyle name="Total 8 12" xfId="976"/>
    <cellStyle name="Total 8 12 2" xfId="2692"/>
    <cellStyle name="Total 8 13" xfId="1007"/>
    <cellStyle name="Total 8 13 2" xfId="2645"/>
    <cellStyle name="Total 8 14" xfId="1034"/>
    <cellStyle name="Total 8 14 2" xfId="2381"/>
    <cellStyle name="Total 8 15" xfId="1061"/>
    <cellStyle name="Total 8 15 2" xfId="2433"/>
    <cellStyle name="Total 8 16" xfId="1088"/>
    <cellStyle name="Total 8 16 2" xfId="2978"/>
    <cellStyle name="Total 8 17" xfId="1240"/>
    <cellStyle name="Total 8 17 2" xfId="2896"/>
    <cellStyle name="Total 8 18" xfId="1338"/>
    <cellStyle name="Total 8 18 2" xfId="3029"/>
    <cellStyle name="Total 8 19" xfId="1436"/>
    <cellStyle name="Total 8 2" xfId="458"/>
    <cellStyle name="Total 8 2 2" xfId="1291"/>
    <cellStyle name="Total 8 2 3" xfId="1389"/>
    <cellStyle name="Total 8 2 4" xfId="1487"/>
    <cellStyle name="Total 8 2 5" xfId="1585"/>
    <cellStyle name="Total 8 2 6" xfId="1690"/>
    <cellStyle name="Total 8 2 7" xfId="1793"/>
    <cellStyle name="Total 8 2 8" xfId="1896"/>
    <cellStyle name="Total 8 2 9" xfId="1999"/>
    <cellStyle name="Total 8 20" xfId="1534"/>
    <cellStyle name="Total 8 21" xfId="1639"/>
    <cellStyle name="Total 8 22" xfId="1742"/>
    <cellStyle name="Total 8 23" xfId="1845"/>
    <cellStyle name="Total 8 24" xfId="1948"/>
    <cellStyle name="Total 8 3" xfId="521"/>
    <cellStyle name="Total 8 3 2" xfId="2058"/>
    <cellStyle name="Total 8 4" xfId="548"/>
    <cellStyle name="Total 8 4 2" xfId="2117"/>
    <cellStyle name="Total 8 5" xfId="724"/>
    <cellStyle name="Total 8 5 2" xfId="2234"/>
    <cellStyle name="Total 8 6" xfId="760"/>
    <cellStyle name="Total 8 6 2" xfId="2144"/>
    <cellStyle name="Total 8 7" xfId="796"/>
    <cellStyle name="Total 8 7 2" xfId="2473"/>
    <cellStyle name="Total 8 8" xfId="832"/>
    <cellStyle name="Total 8 8 2" xfId="2283"/>
    <cellStyle name="Total 8 9" xfId="868"/>
    <cellStyle name="Total 8 9 2" xfId="2529"/>
    <cellStyle name="Total 9" xfId="365"/>
    <cellStyle name="Total 9 10" xfId="905"/>
    <cellStyle name="Total 9 10 2" xfId="2585"/>
    <cellStyle name="Total 9 11" xfId="941"/>
    <cellStyle name="Total 9 11 2" xfId="2641"/>
    <cellStyle name="Total 9 12" xfId="977"/>
    <cellStyle name="Total 9 12 2" xfId="2693"/>
    <cellStyle name="Total 9 13" xfId="1008"/>
    <cellStyle name="Total 9 13 2" xfId="2646"/>
    <cellStyle name="Total 9 14" xfId="1035"/>
    <cellStyle name="Total 9 14 2" xfId="2380"/>
    <cellStyle name="Total 9 15" xfId="1062"/>
    <cellStyle name="Total 9 15 2" xfId="2434"/>
    <cellStyle name="Total 9 16" xfId="1089"/>
    <cellStyle name="Total 9 16 2" xfId="2979"/>
    <cellStyle name="Total 9 17" xfId="1241"/>
    <cellStyle name="Total 9 17 2" xfId="2895"/>
    <cellStyle name="Total 9 18" xfId="1339"/>
    <cellStyle name="Total 9 18 2" xfId="3042"/>
    <cellStyle name="Total 9 19" xfId="1437"/>
    <cellStyle name="Total 9 2" xfId="459"/>
    <cellStyle name="Total 9 2 2" xfId="1292"/>
    <cellStyle name="Total 9 2 3" xfId="1390"/>
    <cellStyle name="Total 9 2 4" xfId="1488"/>
    <cellStyle name="Total 9 2 5" xfId="1586"/>
    <cellStyle name="Total 9 2 6" xfId="1691"/>
    <cellStyle name="Total 9 2 7" xfId="1794"/>
    <cellStyle name="Total 9 2 8" xfId="1897"/>
    <cellStyle name="Total 9 2 9" xfId="2000"/>
    <cellStyle name="Total 9 20" xfId="1535"/>
    <cellStyle name="Total 9 21" xfId="1640"/>
    <cellStyle name="Total 9 22" xfId="1743"/>
    <cellStyle name="Total 9 23" xfId="1846"/>
    <cellStyle name="Total 9 24" xfId="1949"/>
    <cellStyle name="Total 9 3" xfId="522"/>
    <cellStyle name="Total 9 3 2" xfId="2059"/>
    <cellStyle name="Total 9 4" xfId="549"/>
    <cellStyle name="Total 9 4 2" xfId="2118"/>
    <cellStyle name="Total 9 5" xfId="725"/>
    <cellStyle name="Total 9 5 2" xfId="2235"/>
    <cellStyle name="Total 9 6" xfId="761"/>
    <cellStyle name="Total 9 6 2" xfId="2143"/>
    <cellStyle name="Total 9 7" xfId="797"/>
    <cellStyle name="Total 9 7 2" xfId="2474"/>
    <cellStyle name="Total 9 8" xfId="833"/>
    <cellStyle name="Total 9 8 2" xfId="2282"/>
    <cellStyle name="Total 9 9" xfId="869"/>
    <cellStyle name="Total 9 9 2" xfId="2530"/>
    <cellStyle name="Warning Text 10" xfId="366"/>
    <cellStyle name="Warning Text 2" xfId="367"/>
    <cellStyle name="Warning Text 3" xfId="368"/>
    <cellStyle name="Warning Text 4" xfId="369"/>
    <cellStyle name="Warning Text 5" xfId="370"/>
    <cellStyle name="Warning Text 6" xfId="371"/>
    <cellStyle name="Warning Text 7" xfId="372"/>
    <cellStyle name="Warning Text 8" xfId="373"/>
    <cellStyle name="Warning Text 9" xfId="374"/>
  </cellStyles>
  <dxfs count="120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FF00"/>
      <color rgb="FF93C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4"/>
  <sheetViews>
    <sheetView tabSelected="1" zoomScale="85" zoomScaleNormal="85" workbookViewId="0">
      <selection activeCell="P16" sqref="P16"/>
    </sheetView>
  </sheetViews>
  <sheetFormatPr defaultRowHeight="15"/>
  <cols>
    <col min="1" max="1" width="5.5703125" style="7" bestFit="1" customWidth="1"/>
    <col min="2" max="2" width="15.140625" style="7" bestFit="1" customWidth="1"/>
    <col min="3" max="3" width="4.5703125" style="7" bestFit="1" customWidth="1"/>
    <col min="4" max="4" width="10.5703125" style="7" customWidth="1"/>
    <col min="5" max="5" width="8.140625" style="7" bestFit="1" customWidth="1"/>
    <col min="6" max="6" width="8.85546875" style="7" bestFit="1" customWidth="1"/>
    <col min="7" max="7" width="9.28515625" style="7" customWidth="1"/>
    <col min="8" max="8" width="11.28515625" style="7" hidden="1" customWidth="1"/>
    <col min="9" max="9" width="9.5703125" style="7" hidden="1" customWidth="1"/>
    <col min="10" max="10" width="10.85546875" style="7" customWidth="1"/>
    <col min="11" max="11" width="11" style="7" customWidth="1"/>
    <col min="12" max="12" width="12.5703125" style="7" bestFit="1" customWidth="1"/>
    <col min="13" max="13" width="9.7109375" style="7" customWidth="1"/>
    <col min="14" max="14" width="13.42578125" style="34" customWidth="1"/>
    <col min="15" max="15" width="12.140625" style="34" bestFit="1" customWidth="1"/>
    <col min="16" max="16" width="8.42578125" style="7" bestFit="1" customWidth="1"/>
    <col min="17" max="17" width="8.42578125" style="115" customWidth="1"/>
    <col min="18" max="18" width="10.28515625" style="7" bestFit="1" customWidth="1"/>
    <col min="19" max="19" width="15.140625" style="8" bestFit="1" customWidth="1"/>
    <col min="20" max="20" width="11.140625" style="7" bestFit="1" customWidth="1"/>
    <col min="21" max="21" width="10" style="7" customWidth="1"/>
    <col min="22" max="22" width="10.28515625" style="7" bestFit="1" customWidth="1"/>
    <col min="23" max="23" width="10" style="7" bestFit="1" customWidth="1"/>
    <col min="24" max="24" width="11.5703125" style="7" bestFit="1" customWidth="1"/>
    <col min="25" max="25" width="10.140625" style="7" bestFit="1" customWidth="1"/>
    <col min="26" max="26" width="11" style="7" bestFit="1" customWidth="1"/>
    <col min="27" max="16384" width="9.140625" style="7"/>
  </cols>
  <sheetData>
    <row r="1" spans="1:26" ht="15" customHeight="1">
      <c r="A1" s="338" t="s">
        <v>0</v>
      </c>
      <c r="B1" s="340" t="s">
        <v>16</v>
      </c>
      <c r="C1" s="342" t="s">
        <v>24</v>
      </c>
      <c r="D1" s="344" t="s">
        <v>5</v>
      </c>
      <c r="E1" s="345"/>
      <c r="F1" s="346"/>
      <c r="G1" s="344" t="str">
        <f>'VMAX table'!A6</f>
        <v>Thin Devices</v>
      </c>
      <c r="H1" s="345"/>
      <c r="I1" s="345"/>
      <c r="J1" s="345"/>
      <c r="K1" s="345"/>
      <c r="L1" s="346"/>
      <c r="M1" s="46"/>
      <c r="N1" s="46"/>
      <c r="O1" s="336" t="s">
        <v>41</v>
      </c>
      <c r="P1" s="121"/>
      <c r="Q1" s="122" t="s">
        <v>63</v>
      </c>
      <c r="S1" s="7"/>
      <c r="T1" s="8"/>
    </row>
    <row r="2" spans="1:26" ht="60.75" thickBot="1">
      <c r="A2" s="339"/>
      <c r="B2" s="341"/>
      <c r="C2" s="343"/>
      <c r="D2" s="5" t="s">
        <v>6</v>
      </c>
      <c r="E2" s="1" t="str">
        <f>'VMAX table'!B4</f>
        <v>Used GB</v>
      </c>
      <c r="F2" s="2" t="str">
        <f>'VMAX table'!B5</f>
        <v>% full</v>
      </c>
      <c r="G2" s="5" t="str">
        <f>'VMAX table'!B6</f>
        <v># Devices</v>
      </c>
      <c r="H2" s="1" t="str">
        <f>'VMAX table'!B7</f>
        <v>Virtual Capacity GB</v>
      </c>
      <c r="I2" s="1" t="str">
        <f>'VMAX table'!B8</f>
        <v>capacity threshold</v>
      </c>
      <c r="J2" s="1" t="str">
        <f>'VMAX table'!B9</f>
        <v># Allocated</v>
      </c>
      <c r="K2" s="1" t="str">
        <f>'VMAX table'!B10</f>
        <v>GB Allocated</v>
      </c>
      <c r="L2" s="2" t="str">
        <f>'VMAX table'!B11</f>
        <v>subscription</v>
      </c>
      <c r="M2" s="44" t="s">
        <v>85</v>
      </c>
      <c r="N2" s="44" t="s">
        <v>40</v>
      </c>
      <c r="O2" s="337"/>
      <c r="P2" s="121"/>
      <c r="Q2" s="123" t="s">
        <v>64</v>
      </c>
      <c r="S2" s="307" t="s">
        <v>16</v>
      </c>
      <c r="T2" s="307" t="s">
        <v>92</v>
      </c>
      <c r="U2" s="307" t="s">
        <v>93</v>
      </c>
      <c r="V2" s="307" t="s">
        <v>94</v>
      </c>
      <c r="W2" s="307" t="s">
        <v>95</v>
      </c>
      <c r="X2" s="307" t="s">
        <v>96</v>
      </c>
      <c r="Y2" s="307" t="s">
        <v>97</v>
      </c>
      <c r="Z2" s="307" t="s">
        <v>98</v>
      </c>
    </row>
    <row r="3" spans="1:26" ht="15" customHeight="1">
      <c r="A3" s="145" t="str">
        <f>'VMAX table'!C$1</f>
        <v>CGC</v>
      </c>
      <c r="B3" s="6" t="str">
        <f t="shared" ref="B3:B21" ca="1" si="0">"VMAX " &amp; INDIRECT("'VMAX table'!" &amp; $Q3 &amp; B$38)</f>
        <v>VMAX 0623</v>
      </c>
      <c r="C3" s="148">
        <v>4</v>
      </c>
      <c r="D3" s="18">
        <f t="shared" ref="D3:L12" ca="1" si="1">INDIRECT("'VMAX table'!" &amp; $Q3 &amp; D$38)</f>
        <v>143393</v>
      </c>
      <c r="E3" s="9">
        <f t="shared" ca="1" si="1"/>
        <v>41671.5</v>
      </c>
      <c r="F3" s="10">
        <f t="shared" ca="1" si="1"/>
        <v>0.29061042031340439</v>
      </c>
      <c r="G3" s="145">
        <f t="shared" ca="1" si="1"/>
        <v>5870</v>
      </c>
      <c r="H3" s="9">
        <f t="shared" ca="1" si="1"/>
        <v>197918.78999999998</v>
      </c>
      <c r="I3" s="9">
        <f t="shared" ca="1" si="1"/>
        <v>164000</v>
      </c>
      <c r="J3" s="9">
        <f t="shared" ca="1" si="1"/>
        <v>5339</v>
      </c>
      <c r="K3" s="9">
        <f t="shared" ca="1" si="1"/>
        <v>180015.06299999999</v>
      </c>
      <c r="L3" s="10">
        <f t="shared" ca="1" si="1"/>
        <v>1.2553964489201006</v>
      </c>
      <c r="M3" s="74">
        <f ca="1">(G3-J3)</f>
        <v>531</v>
      </c>
      <c r="N3" s="235">
        <f ca="1">(K3-E3)/(D3-E3)</f>
        <v>1.3600228368633966</v>
      </c>
      <c r="O3" s="74">
        <f ca="1">(2.25*(D3-E3)+E3)-K3</f>
        <v>90529.812000000005</v>
      </c>
      <c r="P3" s="121"/>
      <c r="Q3" s="122" t="str">
        <f>CHAR(64+ROW())</f>
        <v>C</v>
      </c>
      <c r="R3" s="11"/>
      <c r="S3" s="306" t="str">
        <f ca="1">B3</f>
        <v>VMAX 0623</v>
      </c>
      <c r="T3" s="313">
        <f ca="1">D3/1024</f>
        <v>140.0322265625</v>
      </c>
      <c r="U3" s="313">
        <f ca="1">(K3+MIN(M3,O3))/1024</f>
        <v>176.31451464843749</v>
      </c>
      <c r="V3" s="313">
        <f ca="1">K3/1024</f>
        <v>175.79595996093749</v>
      </c>
      <c r="W3" s="313">
        <f ca="1">E3/1024</f>
        <v>40.69482421875</v>
      </c>
      <c r="X3" s="314">
        <f ca="1">T3/U3</f>
        <v>0.79421837074342627</v>
      </c>
      <c r="Y3" s="313">
        <f ca="1">V3*X3</f>
        <v>139.62038090345237</v>
      </c>
      <c r="Z3" s="8">
        <f ca="1">W3/Y3</f>
        <v>0.29146764931754848</v>
      </c>
    </row>
    <row r="4" spans="1:26">
      <c r="A4" s="3" t="str">
        <f>'VMAX table'!D$1</f>
        <v>CGC</v>
      </c>
      <c r="B4" s="146" t="str">
        <f t="shared" ca="1" si="0"/>
        <v>VMAX 0745</v>
      </c>
      <c r="C4" s="17">
        <v>3</v>
      </c>
      <c r="D4" s="19">
        <f t="shared" ca="1" si="1"/>
        <v>150516.70000000001</v>
      </c>
      <c r="E4" s="12">
        <f t="shared" ca="1" si="1"/>
        <v>78563.7</v>
      </c>
      <c r="F4" s="13">
        <f t="shared" ca="1" si="1"/>
        <v>0.52196002171187639</v>
      </c>
      <c r="G4" s="3">
        <f t="shared" ca="1" si="1"/>
        <v>3333</v>
      </c>
      <c r="H4" s="12">
        <f t="shared" ca="1" si="1"/>
        <v>112378.761</v>
      </c>
      <c r="I4" s="12">
        <f t="shared" ca="1" si="1"/>
        <v>109880</v>
      </c>
      <c r="J4" s="12">
        <f t="shared" ca="1" si="1"/>
        <v>2687</v>
      </c>
      <c r="K4" s="12">
        <f t="shared" ca="1" si="1"/>
        <v>90597.578999999998</v>
      </c>
      <c r="L4" s="13">
        <f t="shared" ca="1" si="1"/>
        <v>0.60191047903654538</v>
      </c>
      <c r="M4" s="55">
        <f t="shared" ref="M4:M19" ca="1" si="2">(G4-J4)</f>
        <v>646</v>
      </c>
      <c r="N4" s="76">
        <f t="shared" ref="N4:N31" ca="1" si="3">(K4-E4)/(D4-E4)</f>
        <v>0.16724638305560571</v>
      </c>
      <c r="O4" s="55">
        <f t="shared" ref="O4:O31" ca="1" si="4">(2.25*(D4-E4)+E4)-K4</f>
        <v>149860.37100000001</v>
      </c>
      <c r="P4" s="121"/>
      <c r="Q4" s="123" t="str">
        <f t="shared" ref="Q4:Q21" si="5">CHAR(64+ROW())</f>
        <v>D</v>
      </c>
      <c r="S4" s="306" t="str">
        <f t="shared" ref="S4:S21" ca="1" si="6">B4</f>
        <v>VMAX 0745</v>
      </c>
      <c r="T4" s="313">
        <f t="shared" ref="T4:T21" ca="1" si="7">D4/1024</f>
        <v>146.98896484375001</v>
      </c>
      <c r="U4" s="313">
        <f t="shared" ref="U4:U21" ca="1" si="8">(K4+MIN(M4,O4))/1024</f>
        <v>89.105057617187498</v>
      </c>
      <c r="V4" s="313">
        <f t="shared" ref="V4:V21" ca="1" si="9">K4/1024</f>
        <v>88.474198242187498</v>
      </c>
      <c r="W4" s="313">
        <f t="shared" ref="W4:W21" ca="1" si="10">E4/1024</f>
        <v>76.722363281249997</v>
      </c>
      <c r="X4" s="314">
        <f t="shared" ref="X4:X21" ca="1" si="11">T4/U4</f>
        <v>1.6496141607948107</v>
      </c>
      <c r="Y4" s="313">
        <f t="shared" ref="Y4:Y21" ca="1" si="12">V4*X4</f>
        <v>145.94829028527985</v>
      </c>
      <c r="Z4" s="8">
        <f t="shared" ref="Z4:Z21" ca="1" si="13">W4/Y4</f>
        <v>0.52568182286536935</v>
      </c>
    </row>
    <row r="5" spans="1:26">
      <c r="A5" s="3" t="str">
        <f>'VMAX table'!E$1</f>
        <v>RDC</v>
      </c>
      <c r="B5" s="146" t="str">
        <f t="shared" ca="1" si="0"/>
        <v>VMAX 0552</v>
      </c>
      <c r="C5" s="17">
        <v>3</v>
      </c>
      <c r="D5" s="19">
        <f t="shared" ca="1" si="1"/>
        <v>150516.70000000001</v>
      </c>
      <c r="E5" s="12">
        <f t="shared" ca="1" si="1"/>
        <v>80046.600000000006</v>
      </c>
      <c r="F5" s="13">
        <f t="shared" ca="1" si="1"/>
        <v>0.53181208463911311</v>
      </c>
      <c r="G5" s="3">
        <f t="shared" ca="1" si="1"/>
        <v>3330</v>
      </c>
      <c r="H5" s="12">
        <f t="shared" ca="1" si="1"/>
        <v>112277.61</v>
      </c>
      <c r="I5" s="12">
        <f t="shared" ca="1" si="1"/>
        <v>109880</v>
      </c>
      <c r="J5" s="12">
        <f t="shared" ca="1" si="1"/>
        <v>2718</v>
      </c>
      <c r="K5" s="12">
        <f t="shared" ca="1" si="1"/>
        <v>91642.805999999997</v>
      </c>
      <c r="L5" s="13">
        <f t="shared" ca="1" si="1"/>
        <v>0.60885473837786763</v>
      </c>
      <c r="M5" s="55">
        <f t="shared" ca="1" si="2"/>
        <v>612</v>
      </c>
      <c r="N5" s="76">
        <f t="shared" ca="1" si="3"/>
        <v>0.16455498147441242</v>
      </c>
      <c r="O5" s="55">
        <f t="shared" ca="1" si="4"/>
        <v>146961.51900000003</v>
      </c>
      <c r="P5" s="121"/>
      <c r="Q5" s="123" t="str">
        <f t="shared" si="5"/>
        <v>E</v>
      </c>
      <c r="S5" s="306" t="str">
        <f t="shared" ca="1" si="6"/>
        <v>VMAX 0552</v>
      </c>
      <c r="T5" s="313">
        <f t="shared" ca="1" si="7"/>
        <v>146.98896484375001</v>
      </c>
      <c r="U5" s="313">
        <f t="shared" ca="1" si="8"/>
        <v>90.092583984374997</v>
      </c>
      <c r="V5" s="313">
        <f t="shared" ca="1" si="9"/>
        <v>89.494927734374997</v>
      </c>
      <c r="W5" s="313">
        <f t="shared" ca="1" si="10"/>
        <v>78.170507812500006</v>
      </c>
      <c r="X5" s="314">
        <f t="shared" ca="1" si="11"/>
        <v>1.6315323453175981</v>
      </c>
      <c r="Y5" s="313">
        <f t="shared" ca="1" si="12"/>
        <v>146.01386934049378</v>
      </c>
      <c r="Z5" s="8">
        <f t="shared" ca="1" si="13"/>
        <v>0.53536357995014872</v>
      </c>
    </row>
    <row r="6" spans="1:26" ht="15" customHeight="1">
      <c r="A6" s="3" t="str">
        <f>'VMAX table'!F$1</f>
        <v>RDC</v>
      </c>
      <c r="B6" s="146" t="str">
        <f t="shared" ca="1" si="0"/>
        <v>VMAX 0678</v>
      </c>
      <c r="C6" s="17">
        <v>4</v>
      </c>
      <c r="D6" s="19">
        <f t="shared" ca="1" si="1"/>
        <v>181997.8</v>
      </c>
      <c r="E6" s="12">
        <f t="shared" ca="1" si="1"/>
        <v>161154.20000000001</v>
      </c>
      <c r="F6" s="13">
        <f t="shared" ca="1" si="1"/>
        <v>0.88547334088653828</v>
      </c>
      <c r="G6" s="3">
        <f t="shared" ca="1" si="1"/>
        <v>9457</v>
      </c>
      <c r="H6" s="12">
        <f t="shared" ca="1" si="1"/>
        <v>318861.66899999999</v>
      </c>
      <c r="I6" s="12">
        <f t="shared" ca="1" si="1"/>
        <v>328000</v>
      </c>
      <c r="J6" s="12">
        <f t="shared" ca="1" si="1"/>
        <v>8246</v>
      </c>
      <c r="K6" s="12">
        <f t="shared" ca="1" si="1"/>
        <v>278030.38199999998</v>
      </c>
      <c r="L6" s="13">
        <f t="shared" ca="1" si="1"/>
        <v>1.5276579277331923</v>
      </c>
      <c r="M6" s="55">
        <f t="shared" ca="1" si="2"/>
        <v>1211</v>
      </c>
      <c r="N6" s="76">
        <f t="shared" ca="1" si="3"/>
        <v>5.6072934617820387</v>
      </c>
      <c r="O6" s="55">
        <f t="shared" ca="1" si="4"/>
        <v>-69978.082000000024</v>
      </c>
      <c r="P6" s="121"/>
      <c r="Q6" s="123" t="str">
        <f t="shared" si="5"/>
        <v>F</v>
      </c>
      <c r="S6" s="306" t="str">
        <f t="shared" ca="1" si="6"/>
        <v>VMAX 0678</v>
      </c>
      <c r="T6" s="313">
        <f t="shared" ca="1" si="7"/>
        <v>177.73222656249999</v>
      </c>
      <c r="U6" s="313">
        <f t="shared" ca="1" si="8"/>
        <v>203.17607421874996</v>
      </c>
      <c r="V6" s="313">
        <f t="shared" ca="1" si="9"/>
        <v>271.51404492187498</v>
      </c>
      <c r="W6" s="313">
        <f t="shared" ca="1" si="10"/>
        <v>157.37714843750001</v>
      </c>
      <c r="X6" s="314">
        <f t="shared" ca="1" si="11"/>
        <v>0.87476946902293329</v>
      </c>
      <c r="Y6" s="313">
        <f t="shared" ca="1" si="12"/>
        <v>237.51219690857744</v>
      </c>
      <c r="Z6" s="8">
        <f t="shared" ca="1" si="13"/>
        <v>0.66260659657018461</v>
      </c>
    </row>
    <row r="7" spans="1:26">
      <c r="A7" s="3" t="str">
        <f>'VMAX table'!G$1</f>
        <v>RDC</v>
      </c>
      <c r="B7" s="146" t="str">
        <f t="shared" ca="1" si="0"/>
        <v>VMAX 3286</v>
      </c>
      <c r="C7" s="17">
        <v>3</v>
      </c>
      <c r="D7" s="19">
        <f t="shared" ca="1" si="1"/>
        <v>165452.5</v>
      </c>
      <c r="E7" s="12">
        <f t="shared" ca="1" si="1"/>
        <v>103958.2</v>
      </c>
      <c r="F7" s="13">
        <f t="shared" ca="1" si="1"/>
        <v>0.62832655898218526</v>
      </c>
      <c r="G7" s="3">
        <f t="shared" ca="1" si="1"/>
        <v>8428</v>
      </c>
      <c r="H7" s="12">
        <f t="shared" ca="1" si="1"/>
        <v>284166.87599999999</v>
      </c>
      <c r="I7" s="12">
        <f t="shared" ca="1" si="1"/>
        <v>330905</v>
      </c>
      <c r="J7" s="12">
        <f t="shared" ca="1" si="1"/>
        <v>3878</v>
      </c>
      <c r="K7" s="12">
        <f t="shared" ca="1" si="1"/>
        <v>261509.052</v>
      </c>
      <c r="L7" s="13">
        <f t="shared" ca="1" si="1"/>
        <v>1.5805687553829648</v>
      </c>
      <c r="M7" s="55">
        <f t="shared" ca="1" si="2"/>
        <v>4550</v>
      </c>
      <c r="N7" s="76">
        <f t="shared" ref="N7" ca="1" si="14">(K7-E7)/(D7-E7)</f>
        <v>2.5620399289039799</v>
      </c>
      <c r="O7" s="55">
        <f t="shared" ref="O7" ca="1" si="15">(2.25*(D7-E7)+E7)-K7</f>
        <v>-19188.676999999996</v>
      </c>
      <c r="P7" s="121"/>
      <c r="Q7" s="123" t="str">
        <f t="shared" si="5"/>
        <v>G</v>
      </c>
      <c r="S7" s="306" t="str">
        <f t="shared" ca="1" si="6"/>
        <v>VMAX 3286</v>
      </c>
      <c r="T7" s="313">
        <f t="shared" ca="1" si="7"/>
        <v>161.57470703125</v>
      </c>
      <c r="U7" s="313">
        <f t="shared" ca="1" si="8"/>
        <v>236.6409912109375</v>
      </c>
      <c r="V7" s="313">
        <f t="shared" ca="1" si="9"/>
        <v>255.37993359375</v>
      </c>
      <c r="W7" s="313">
        <f t="shared" ca="1" si="10"/>
        <v>101.5216796875</v>
      </c>
      <c r="X7" s="314">
        <f t="shared" ca="1" si="11"/>
        <v>0.68278410348283758</v>
      </c>
      <c r="Y7" s="313">
        <f t="shared" ca="1" si="12"/>
        <v>174.36935900631519</v>
      </c>
      <c r="Z7" s="8">
        <f t="shared" ca="1" si="13"/>
        <v>0.58222201576036736</v>
      </c>
    </row>
    <row r="8" spans="1:26">
      <c r="A8" s="3" t="str">
        <f>'VMAX table'!H$1</f>
        <v>RDC</v>
      </c>
      <c r="B8" s="146" t="str">
        <f t="shared" ca="1" si="0"/>
        <v>VMAX 3073</v>
      </c>
      <c r="C8" s="17">
        <v>4</v>
      </c>
      <c r="D8" s="19">
        <f t="shared" ca="1" si="1"/>
        <v>132132.9</v>
      </c>
      <c r="E8" s="12">
        <f t="shared" ca="1" si="1"/>
        <v>55020.1</v>
      </c>
      <c r="F8" s="13">
        <f t="shared" ca="1" si="1"/>
        <v>0.41639970060446718</v>
      </c>
      <c r="G8" s="3">
        <f t="shared" ca="1" si="1"/>
        <v>15703</v>
      </c>
      <c r="H8" s="12">
        <f t="shared" ca="1" si="1"/>
        <v>529458.05099999998</v>
      </c>
      <c r="I8" s="12">
        <f t="shared" ca="1" si="1"/>
        <v>264264</v>
      </c>
      <c r="J8" s="12">
        <f t="shared" ca="1" si="1"/>
        <v>13627</v>
      </c>
      <c r="K8" s="12">
        <f t="shared" ca="1" si="1"/>
        <v>459461.55900000001</v>
      </c>
      <c r="L8" s="13">
        <f t="shared" ca="1" si="1"/>
        <v>3.4772684093060851</v>
      </c>
      <c r="M8" s="55">
        <f t="shared" ca="1" si="2"/>
        <v>2076</v>
      </c>
      <c r="N8" s="76">
        <f t="shared" ca="1" si="3"/>
        <v>5.2448031844259333</v>
      </c>
      <c r="O8" s="55">
        <f t="shared" ca="1" si="4"/>
        <v>-230937.65900000001</v>
      </c>
      <c r="P8" s="121"/>
      <c r="Q8" s="123" t="str">
        <f t="shared" si="5"/>
        <v>H</v>
      </c>
      <c r="S8" s="306" t="str">
        <f t="shared" ca="1" si="6"/>
        <v>VMAX 3073</v>
      </c>
      <c r="T8" s="313">
        <f t="shared" ca="1" si="7"/>
        <v>129.03603515624999</v>
      </c>
      <c r="U8" s="313">
        <f t="shared" ca="1" si="8"/>
        <v>223.16787109374999</v>
      </c>
      <c r="V8" s="313">
        <f t="shared" ca="1" si="9"/>
        <v>448.69292871093751</v>
      </c>
      <c r="W8" s="313">
        <f t="shared" ca="1" si="10"/>
        <v>53.730566406249999</v>
      </c>
      <c r="X8" s="314">
        <f t="shared" ca="1" si="11"/>
        <v>0.57820166730919609</v>
      </c>
      <c r="Y8" s="313">
        <f t="shared" ca="1" si="12"/>
        <v>259.43499949051034</v>
      </c>
      <c r="Z8" s="8">
        <f t="shared" ca="1" si="13"/>
        <v>0.20710608249375917</v>
      </c>
    </row>
    <row r="9" spans="1:26">
      <c r="A9" s="3" t="str">
        <f>'VMAX table'!I$1</f>
        <v>RDC</v>
      </c>
      <c r="B9" s="146" t="str">
        <f t="shared" ca="1" si="0"/>
        <v>VMAX 2230</v>
      </c>
      <c r="C9" s="146">
        <v>3</v>
      </c>
      <c r="D9" s="19">
        <f t="shared" ca="1" si="1"/>
        <v>170968.6</v>
      </c>
      <c r="E9" s="12">
        <f t="shared" ca="1" si="1"/>
        <v>87561.9</v>
      </c>
      <c r="F9" s="13">
        <f t="shared" ca="1" si="1"/>
        <v>0.51215193901102307</v>
      </c>
      <c r="G9" s="3">
        <f t="shared" ca="1" si="1"/>
        <v>7403</v>
      </c>
      <c r="H9" s="12">
        <f t="shared" ca="1" si="1"/>
        <v>249606.951</v>
      </c>
      <c r="I9" s="12">
        <f t="shared" ca="1" si="1"/>
        <v>242663.6</v>
      </c>
      <c r="J9" s="12">
        <f t="shared" ca="1" si="1"/>
        <v>6154</v>
      </c>
      <c r="K9" s="12">
        <f t="shared" ca="1" si="1"/>
        <v>140060.41800000001</v>
      </c>
      <c r="L9" s="13">
        <f t="shared" ca="1" si="1"/>
        <v>0.81921720128725395</v>
      </c>
      <c r="M9" s="55">
        <f t="shared" ca="1" si="2"/>
        <v>1249</v>
      </c>
      <c r="N9" s="76">
        <f t="shared" ca="1" si="3"/>
        <v>0.62942806752934721</v>
      </c>
      <c r="O9" s="55">
        <f t="shared" ca="1" si="4"/>
        <v>135166.55699999997</v>
      </c>
      <c r="P9" s="121"/>
      <c r="Q9" s="123" t="str">
        <f t="shared" si="5"/>
        <v>I</v>
      </c>
      <c r="S9" s="306" t="str">
        <f t="shared" ca="1" si="6"/>
        <v>VMAX 2230</v>
      </c>
      <c r="T9" s="313">
        <f t="shared" ca="1" si="7"/>
        <v>166.96152343750001</v>
      </c>
      <c r="U9" s="313">
        <f t="shared" ca="1" si="8"/>
        <v>137.99747851562501</v>
      </c>
      <c r="V9" s="313">
        <f t="shared" ca="1" si="9"/>
        <v>136.77775195312501</v>
      </c>
      <c r="W9" s="313">
        <f t="shared" ca="1" si="10"/>
        <v>85.509667968749994</v>
      </c>
      <c r="X9" s="314">
        <f t="shared" ca="1" si="11"/>
        <v>1.2098882184908581</v>
      </c>
      <c r="Y9" s="313">
        <f t="shared" ca="1" si="12"/>
        <v>165.48579063975092</v>
      </c>
      <c r="Z9" s="8">
        <f t="shared" ca="1" si="13"/>
        <v>0.51671909496385449</v>
      </c>
    </row>
    <row r="10" spans="1:26" s="114" customFormat="1">
      <c r="A10" s="3" t="str">
        <f>'VMAX table'!J$1</f>
        <v>RDC</v>
      </c>
      <c r="B10" s="146" t="str">
        <f t="shared" ca="1" si="0"/>
        <v>VMAX 3696</v>
      </c>
      <c r="C10" s="146">
        <v>4</v>
      </c>
      <c r="D10" s="19">
        <f t="shared" ca="1" si="1"/>
        <v>165453.5</v>
      </c>
      <c r="E10" s="12">
        <f t="shared" ca="1" si="1"/>
        <v>16517.900000000001</v>
      </c>
      <c r="F10" s="13">
        <f t="shared" ca="1" si="1"/>
        <v>9.9834092358275894E-2</v>
      </c>
      <c r="G10" s="3">
        <f t="shared" ca="1" si="1"/>
        <v>9599</v>
      </c>
      <c r="H10" s="12">
        <f t="shared" ca="1" si="1"/>
        <v>323649.48300000001</v>
      </c>
      <c r="I10" s="12">
        <f t="shared" ca="1" si="1"/>
        <v>328000</v>
      </c>
      <c r="J10" s="12">
        <f t="shared" ca="1" si="1"/>
        <v>427</v>
      </c>
      <c r="K10" s="12">
        <f t="shared" ca="1" si="1"/>
        <v>14397.159</v>
      </c>
      <c r="L10" s="13">
        <f t="shared" ca="1" si="1"/>
        <v>8.7016345982405929E-2</v>
      </c>
      <c r="M10" s="55">
        <f t="shared" ca="1" si="2"/>
        <v>9172</v>
      </c>
      <c r="N10" s="76">
        <f t="shared" ca="1" si="3"/>
        <v>-1.4239315516236559E-2</v>
      </c>
      <c r="O10" s="55">
        <f t="shared" ca="1" si="4"/>
        <v>337225.84100000007</v>
      </c>
      <c r="P10" s="121"/>
      <c r="Q10" s="123" t="str">
        <f t="shared" si="5"/>
        <v>J</v>
      </c>
      <c r="S10" s="306" t="str">
        <f t="shared" ca="1" si="6"/>
        <v>VMAX 3696</v>
      </c>
      <c r="T10" s="313">
        <f t="shared" ca="1" si="7"/>
        <v>161.57568359375</v>
      </c>
      <c r="U10" s="313">
        <f t="shared" ca="1" si="8"/>
        <v>23.0167568359375</v>
      </c>
      <c r="V10" s="313">
        <f t="shared" ca="1" si="9"/>
        <v>14.0597255859375</v>
      </c>
      <c r="W10" s="313">
        <f t="shared" ca="1" si="10"/>
        <v>16.130761718750001</v>
      </c>
      <c r="X10" s="314">
        <f t="shared" ca="1" si="11"/>
        <v>7.0199153054209527</v>
      </c>
      <c r="Y10" s="313">
        <f t="shared" ca="1" si="12"/>
        <v>98.698082830741228</v>
      </c>
      <c r="Z10" s="8">
        <f t="shared" ca="1" si="13"/>
        <v>0.16343541086216312</v>
      </c>
    </row>
    <row r="11" spans="1:26" s="114" customFormat="1">
      <c r="A11" s="3" t="str">
        <f>'VMAX table'!K$1</f>
        <v>RDC</v>
      </c>
      <c r="B11" s="146" t="str">
        <f t="shared" ca="1" si="0"/>
        <v>VMAX 4330</v>
      </c>
      <c r="C11" s="17">
        <v>4</v>
      </c>
      <c r="D11" s="19">
        <f t="shared" ca="1" si="1"/>
        <v>92411.6</v>
      </c>
      <c r="E11" s="12">
        <f t="shared" ca="1" si="1"/>
        <v>2.7</v>
      </c>
      <c r="F11" s="13">
        <f t="shared" ca="1" si="1"/>
        <v>2.9217111271745105E-5</v>
      </c>
      <c r="G11" s="3">
        <f t="shared" ca="1" si="1"/>
        <v>3593</v>
      </c>
      <c r="H11" s="12">
        <f t="shared" ca="1" si="1"/>
        <v>121145.181</v>
      </c>
      <c r="I11" s="12">
        <f t="shared" ca="1" si="1"/>
        <v>328000</v>
      </c>
      <c r="J11" s="12">
        <f t="shared" ca="1" si="1"/>
        <v>89</v>
      </c>
      <c r="K11" s="12">
        <f t="shared" ca="1" si="1"/>
        <v>3000.8130000000001</v>
      </c>
      <c r="L11" s="13">
        <f t="shared" ca="1" si="1"/>
        <v>3.2472254565444163E-2</v>
      </c>
      <c r="M11" s="55">
        <f t="shared" ca="1" si="2"/>
        <v>3504</v>
      </c>
      <c r="N11" s="76">
        <f t="shared" ref="N11:N13" ca="1" si="16">(K11-E11)/(D11-E11)</f>
        <v>3.2443985373703181E-2</v>
      </c>
      <c r="O11" s="55">
        <f t="shared" ref="O11:O13" ca="1" si="17">(2.25*(D11-E11)+E11)-K11</f>
        <v>204921.91200000004</v>
      </c>
      <c r="P11" s="121"/>
      <c r="Q11" s="123" t="str">
        <f t="shared" si="5"/>
        <v>K</v>
      </c>
      <c r="S11" s="306" t="str">
        <f t="shared" ca="1" si="6"/>
        <v>VMAX 4330</v>
      </c>
      <c r="T11" s="313">
        <f t="shared" ca="1" si="7"/>
        <v>90.245703125000006</v>
      </c>
      <c r="U11" s="313">
        <f t="shared" ca="1" si="8"/>
        <v>6.3523564453125001</v>
      </c>
      <c r="V11" s="313">
        <f t="shared" ca="1" si="9"/>
        <v>2.9304814453125001</v>
      </c>
      <c r="W11" s="313">
        <f t="shared" ca="1" si="10"/>
        <v>2.6367187500000002E-3</v>
      </c>
      <c r="X11" s="314">
        <f t="shared" ca="1" si="11"/>
        <v>14.206649753036714</v>
      </c>
      <c r="Y11" s="313">
        <f t="shared" ca="1" si="12"/>
        <v>41.632323501327505</v>
      </c>
      <c r="Z11" s="8">
        <f t="shared" ca="1" si="13"/>
        <v>6.3333451708884921E-5</v>
      </c>
    </row>
    <row r="12" spans="1:26" s="114" customFormat="1">
      <c r="A12" s="3" t="str">
        <f>'VMAX table'!L$1</f>
        <v>RDC</v>
      </c>
      <c r="B12" s="146" t="str">
        <f t="shared" ca="1" si="0"/>
        <v>VMAX 0347</v>
      </c>
      <c r="C12" s="17">
        <v>3</v>
      </c>
      <c r="D12" s="19">
        <f t="shared" ca="1" si="1"/>
        <v>132070</v>
      </c>
      <c r="E12" s="12">
        <f t="shared" ca="1" si="1"/>
        <v>4.7</v>
      </c>
      <c r="F12" s="13">
        <f t="shared" ca="1" si="1"/>
        <v>3.5587188612099643E-5</v>
      </c>
      <c r="G12" s="3">
        <f t="shared" ca="1" si="1"/>
        <v>6399</v>
      </c>
      <c r="H12" s="12">
        <f t="shared" ca="1" si="1"/>
        <v>215755.08299999998</v>
      </c>
      <c r="I12" s="12">
        <f t="shared" ca="1" si="1"/>
        <v>328000</v>
      </c>
      <c r="J12" s="12">
        <f t="shared" ca="1" si="1"/>
        <v>87</v>
      </c>
      <c r="K12" s="12">
        <f t="shared" ca="1" si="1"/>
        <v>2933.3789999999999</v>
      </c>
      <c r="L12" s="13">
        <f t="shared" ca="1" si="1"/>
        <v>2.2210789732717496E-2</v>
      </c>
      <c r="M12" s="55">
        <f t="shared" ca="1" si="2"/>
        <v>6312</v>
      </c>
      <c r="N12" s="76">
        <f t="shared" ref="N12" ca="1" si="18">(K12-E12)/(D12-E12)</f>
        <v>2.2175991725305589E-2</v>
      </c>
      <c r="O12" s="55">
        <f t="shared" ref="O12" ca="1" si="19">(2.25*(D12-E12)+E12)-K12</f>
        <v>294218.24599999998</v>
      </c>
      <c r="P12" s="121"/>
      <c r="Q12" s="123" t="str">
        <f t="shared" si="5"/>
        <v>L</v>
      </c>
      <c r="S12" s="306" t="str">
        <f t="shared" ca="1" si="6"/>
        <v>VMAX 0347</v>
      </c>
      <c r="T12" s="313">
        <f t="shared" ca="1" si="7"/>
        <v>128.974609375</v>
      </c>
      <c r="U12" s="313">
        <f t="shared" ca="1" si="8"/>
        <v>9.0286904296875008</v>
      </c>
      <c r="V12" s="313">
        <f t="shared" ca="1" si="9"/>
        <v>2.8646279296874999</v>
      </c>
      <c r="W12" s="313">
        <f t="shared" ca="1" si="10"/>
        <v>4.5898437500000002E-3</v>
      </c>
      <c r="X12" s="314">
        <f t="shared" ca="1" si="11"/>
        <v>14.284974147625531</v>
      </c>
      <c r="Y12" s="313">
        <f t="shared" ca="1" si="12"/>
        <v>40.921135918151982</v>
      </c>
      <c r="Z12" s="8">
        <f t="shared" ca="1" si="13"/>
        <v>1.1216315595882607E-4</v>
      </c>
    </row>
    <row r="13" spans="1:26">
      <c r="A13" s="3" t="str">
        <f>'VMAX table'!M$1</f>
        <v>FDC</v>
      </c>
      <c r="B13" s="146" t="str">
        <f t="shared" ca="1" si="0"/>
        <v>VMAX 0879</v>
      </c>
      <c r="C13" s="146">
        <v>3</v>
      </c>
      <c r="D13" s="19">
        <f t="shared" ref="D13:L21" ca="1" si="20">INDIRECT("'VMAX table'!" &amp; $Q13 &amp; D$38)</f>
        <v>193029.1</v>
      </c>
      <c r="E13" s="12">
        <f t="shared" ca="1" si="20"/>
        <v>161405.79999999999</v>
      </c>
      <c r="F13" s="13">
        <f t="shared" ca="1" si="20"/>
        <v>0.83617340597868395</v>
      </c>
      <c r="G13" s="3">
        <f t="shared" ca="1" si="20"/>
        <v>9289</v>
      </c>
      <c r="H13" s="12">
        <f t="shared" ca="1" si="20"/>
        <v>313197.21299999999</v>
      </c>
      <c r="I13" s="12">
        <f t="shared" ca="1" si="20"/>
        <v>328000</v>
      </c>
      <c r="J13" s="12">
        <f t="shared" ca="1" si="20"/>
        <v>8380</v>
      </c>
      <c r="K13" s="12">
        <f t="shared" ca="1" si="20"/>
        <v>282548.45999999996</v>
      </c>
      <c r="L13" s="13">
        <f t="shared" ca="1" si="20"/>
        <v>1.4637609562496015</v>
      </c>
      <c r="M13" s="55">
        <f t="shared" ca="1" si="2"/>
        <v>909</v>
      </c>
      <c r="N13" s="76">
        <f t="shared" ca="1" si="16"/>
        <v>3.8308038692988999</v>
      </c>
      <c r="O13" s="55">
        <f t="shared" ca="1" si="17"/>
        <v>-49990.234999999928</v>
      </c>
      <c r="P13" s="121"/>
      <c r="Q13" s="123" t="str">
        <f t="shared" si="5"/>
        <v>M</v>
      </c>
      <c r="S13" s="306" t="str">
        <f t="shared" ca="1" si="6"/>
        <v>VMAX 0879</v>
      </c>
      <c r="T13" s="313">
        <f t="shared" ca="1" si="7"/>
        <v>188.50498046875001</v>
      </c>
      <c r="U13" s="313">
        <f t="shared" ca="1" si="8"/>
        <v>227.10764160156253</v>
      </c>
      <c r="V13" s="313">
        <f t="shared" ca="1" si="9"/>
        <v>275.92623046874996</v>
      </c>
      <c r="W13" s="313">
        <f t="shared" ca="1" si="10"/>
        <v>157.62285156249999</v>
      </c>
      <c r="X13" s="314">
        <f t="shared" ca="1" si="11"/>
        <v>0.83002482496587671</v>
      </c>
      <c r="Y13" s="313">
        <f t="shared" ca="1" si="12"/>
        <v>229.02562114831835</v>
      </c>
      <c r="Z13" s="8">
        <f t="shared" ca="1" si="13"/>
        <v>0.68823239414083937</v>
      </c>
    </row>
    <row r="14" spans="1:26" s="222" customFormat="1">
      <c r="A14" s="3" t="str">
        <f>'VMAX table'!N$1</f>
        <v>FDC</v>
      </c>
      <c r="B14" s="221" t="str">
        <f t="shared" ca="1" si="0"/>
        <v>VMAX 3004</v>
      </c>
      <c r="C14" s="221">
        <v>3</v>
      </c>
      <c r="D14" s="19">
        <f t="shared" ca="1" si="20"/>
        <v>132132.9</v>
      </c>
      <c r="E14" s="12">
        <f t="shared" ca="1" si="20"/>
        <v>56132.5</v>
      </c>
      <c r="F14" s="13">
        <f t="shared" ca="1" si="20"/>
        <v>0.42481849713432462</v>
      </c>
      <c r="G14" s="3">
        <f t="shared" ca="1" si="20"/>
        <v>12295</v>
      </c>
      <c r="H14" s="12">
        <f t="shared" ca="1" si="20"/>
        <v>414550.51499999996</v>
      </c>
      <c r="I14" s="12">
        <f t="shared" ca="1" si="20"/>
        <v>264264.40000000002</v>
      </c>
      <c r="J14" s="12">
        <f t="shared" ca="1" si="20"/>
        <v>11131</v>
      </c>
      <c r="K14" s="12">
        <f t="shared" ca="1" si="20"/>
        <v>375303.92699999997</v>
      </c>
      <c r="L14" s="13">
        <f t="shared" ca="1" si="20"/>
        <v>2.8403518502961789</v>
      </c>
      <c r="M14" s="55">
        <f t="shared" ca="1" si="2"/>
        <v>1164</v>
      </c>
      <c r="N14" s="76">
        <f t="shared" ref="N14" ca="1" si="21">(K14-E14)/(D14-E14)</f>
        <v>4.1996019363055979</v>
      </c>
      <c r="O14" s="55">
        <f t="shared" ref="O14" ca="1" si="22">(2.25*(D14-E14)+E14)-K14</f>
        <v>-148170.52699999997</v>
      </c>
      <c r="P14" s="121"/>
      <c r="Q14" s="123" t="str">
        <f t="shared" si="5"/>
        <v>N</v>
      </c>
      <c r="S14" s="306" t="str">
        <f t="shared" ca="1" si="6"/>
        <v>VMAX 3004</v>
      </c>
      <c r="T14" s="313">
        <f t="shared" ca="1" si="7"/>
        <v>129.03603515624999</v>
      </c>
      <c r="U14" s="313">
        <f t="shared" ca="1" si="8"/>
        <v>221.80996093749999</v>
      </c>
      <c r="V14" s="313">
        <f t="shared" ca="1" si="9"/>
        <v>366.50774121093747</v>
      </c>
      <c r="W14" s="313">
        <f t="shared" ca="1" si="10"/>
        <v>54.81689453125</v>
      </c>
      <c r="X14" s="314">
        <f t="shared" ca="1" si="11"/>
        <v>0.58174139074218056</v>
      </c>
      <c r="Y14" s="313">
        <f t="shared" ca="1" si="12"/>
        <v>213.21272308982597</v>
      </c>
      <c r="Z14" s="8">
        <f t="shared" ca="1" si="13"/>
        <v>0.25709954704793009</v>
      </c>
    </row>
    <row r="15" spans="1:26" s="222" customFormat="1">
      <c r="A15" s="3" t="str">
        <f>'VMAX table'!O$1</f>
        <v>FDC</v>
      </c>
      <c r="B15" s="221" t="str">
        <f t="shared" ca="1" si="0"/>
        <v>VMAX 2804</v>
      </c>
      <c r="C15" s="221">
        <v>3</v>
      </c>
      <c r="D15" s="19">
        <f t="shared" ca="1" si="20"/>
        <v>82726.600000000006</v>
      </c>
      <c r="E15" s="12">
        <f t="shared" ca="1" si="20"/>
        <v>53380.2</v>
      </c>
      <c r="F15" s="13">
        <f t="shared" ca="1" si="20"/>
        <v>0.64526041200774586</v>
      </c>
      <c r="G15" s="3">
        <f t="shared" ca="1" si="20"/>
        <v>4354</v>
      </c>
      <c r="H15" s="12">
        <f t="shared" ca="1" si="20"/>
        <v>146803.818</v>
      </c>
      <c r="I15" s="12">
        <f t="shared" ca="1" si="20"/>
        <v>328000</v>
      </c>
      <c r="J15" s="12">
        <f t="shared" ca="1" si="20"/>
        <v>4025</v>
      </c>
      <c r="K15" s="12">
        <f t="shared" ca="1" si="20"/>
        <v>135710.92499999999</v>
      </c>
      <c r="L15" s="13">
        <f t="shared" ca="1" si="20"/>
        <v>1.6404750708961806</v>
      </c>
      <c r="M15" s="55">
        <f t="shared" ca="1" si="2"/>
        <v>329</v>
      </c>
      <c r="N15" s="76">
        <f t="shared" ref="N15:N19" ca="1" si="23">(K15-E15)/(D15-E15)</f>
        <v>2.8054795477469114</v>
      </c>
      <c r="O15" s="55">
        <f t="shared" ref="O15:O19" ca="1" si="24">(2.25*(D15-E15)+E15)-K15</f>
        <v>-16301.324999999968</v>
      </c>
      <c r="P15" s="121"/>
      <c r="Q15" s="123" t="str">
        <f t="shared" si="5"/>
        <v>O</v>
      </c>
      <c r="S15" s="306" t="str">
        <f t="shared" ca="1" si="6"/>
        <v>VMAX 2804</v>
      </c>
      <c r="T15" s="313">
        <f t="shared" ca="1" si="7"/>
        <v>80.787695312500006</v>
      </c>
      <c r="U15" s="313">
        <f t="shared" ca="1" si="8"/>
        <v>116.61093750000002</v>
      </c>
      <c r="V15" s="313">
        <f t="shared" ca="1" si="9"/>
        <v>132.53020019531249</v>
      </c>
      <c r="W15" s="313">
        <f t="shared" ca="1" si="10"/>
        <v>52.129101562499997</v>
      </c>
      <c r="X15" s="314">
        <f t="shared" ca="1" si="11"/>
        <v>0.69279689405206946</v>
      </c>
      <c r="Y15" s="313">
        <f t="shared" ca="1" si="12"/>
        <v>91.816511063411454</v>
      </c>
      <c r="Z15" s="8">
        <f t="shared" ca="1" si="13"/>
        <v>0.56775302131114469</v>
      </c>
    </row>
    <row r="16" spans="1:26" s="238" customFormat="1">
      <c r="A16" s="3" t="str">
        <f>'VMAX table'!P$1</f>
        <v>FDC</v>
      </c>
      <c r="B16" s="237" t="str">
        <f t="shared" ca="1" si="0"/>
        <v>VMAX 2231</v>
      </c>
      <c r="C16" s="237">
        <v>3</v>
      </c>
      <c r="D16" s="19">
        <f t="shared" ca="1" si="20"/>
        <v>275755</v>
      </c>
      <c r="E16" s="12">
        <f t="shared" ca="1" si="20"/>
        <v>160058.20000000001</v>
      </c>
      <c r="F16" s="13">
        <f t="shared" ca="1" si="20"/>
        <v>0.58043625682217914</v>
      </c>
      <c r="G16" s="3">
        <f t="shared" ca="1" si="20"/>
        <v>10027</v>
      </c>
      <c r="H16" s="12">
        <f t="shared" ca="1" si="20"/>
        <v>338080.359</v>
      </c>
      <c r="I16" s="12">
        <f t="shared" ca="1" si="20"/>
        <v>352965.4</v>
      </c>
      <c r="J16" s="12">
        <f t="shared" ca="1" si="20"/>
        <v>7440</v>
      </c>
      <c r="K16" s="12">
        <f t="shared" ca="1" si="20"/>
        <v>250854.47999999998</v>
      </c>
      <c r="L16" s="13">
        <f t="shared" ca="1" si="20"/>
        <v>0.90970056753277362</v>
      </c>
      <c r="M16" s="55">
        <f t="shared" ca="1" si="2"/>
        <v>2587</v>
      </c>
      <c r="N16" s="76">
        <f t="shared" ca="1" si="23"/>
        <v>0.78477779852165297</v>
      </c>
      <c r="O16" s="55">
        <f t="shared" ca="1" si="24"/>
        <v>169521.52000000002</v>
      </c>
      <c r="P16" s="121"/>
      <c r="Q16" s="123" t="str">
        <f t="shared" si="5"/>
        <v>P</v>
      </c>
      <c r="S16" s="306" t="str">
        <f t="shared" ca="1" si="6"/>
        <v>VMAX 2231</v>
      </c>
      <c r="T16" s="313">
        <f t="shared" ca="1" si="7"/>
        <v>269.2919921875</v>
      </c>
      <c r="U16" s="313">
        <f t="shared" ca="1" si="8"/>
        <v>247.50144531249998</v>
      </c>
      <c r="V16" s="313">
        <f t="shared" ca="1" si="9"/>
        <v>244.97507812499998</v>
      </c>
      <c r="W16" s="313">
        <f t="shared" ca="1" si="10"/>
        <v>156.30683593750001</v>
      </c>
      <c r="X16" s="314">
        <f t="shared" ca="1" si="11"/>
        <v>1.0880420995016287</v>
      </c>
      <c r="Y16" s="313">
        <f t="shared" ca="1" si="12"/>
        <v>266.5431983287005</v>
      </c>
      <c r="Z16" s="8">
        <f t="shared" ca="1" si="13"/>
        <v>0.58642215189727998</v>
      </c>
    </row>
    <row r="17" spans="1:26" s="295" customFormat="1">
      <c r="A17" s="3" t="str">
        <f>'VMAX table'!Q$1</f>
        <v>FDC</v>
      </c>
      <c r="B17" s="294" t="str">
        <f t="shared" ca="1" si="0"/>
        <v>VMAX 3875</v>
      </c>
      <c r="C17" s="294">
        <v>3</v>
      </c>
      <c r="D17" s="19">
        <f t="shared" ca="1" si="20"/>
        <v>82726.600000000006</v>
      </c>
      <c r="E17" s="12">
        <f t="shared" ca="1" si="20"/>
        <v>8492.9</v>
      </c>
      <c r="F17" s="13">
        <f t="shared" ca="1" si="20"/>
        <v>0.1026622634074167</v>
      </c>
      <c r="G17" s="3">
        <f t="shared" ca="1" si="20"/>
        <v>4799</v>
      </c>
      <c r="H17" s="12">
        <f t="shared" ca="1" si="20"/>
        <v>161807.883</v>
      </c>
      <c r="I17" s="12">
        <f t="shared" ca="1" si="20"/>
        <v>328000</v>
      </c>
      <c r="J17" s="12">
        <f t="shared" ca="1" si="20"/>
        <v>869</v>
      </c>
      <c r="K17" s="12">
        <f t="shared" ca="1" si="20"/>
        <v>29300.073</v>
      </c>
      <c r="L17" s="13">
        <f t="shared" ca="1" si="20"/>
        <v>0.35417958673510092</v>
      </c>
      <c r="M17" s="55">
        <f t="shared" ca="1" si="2"/>
        <v>3930</v>
      </c>
      <c r="N17" s="76">
        <f t="shared" ca="1" si="23"/>
        <v>0.28029281849079324</v>
      </c>
      <c r="O17" s="55">
        <f t="shared" ca="1" si="24"/>
        <v>146218.652</v>
      </c>
      <c r="P17" s="121"/>
      <c r="Q17" s="123" t="str">
        <f t="shared" si="5"/>
        <v>Q</v>
      </c>
      <c r="S17" s="306" t="str">
        <f t="shared" ca="1" si="6"/>
        <v>VMAX 3875</v>
      </c>
      <c r="T17" s="313">
        <f t="shared" ca="1" si="7"/>
        <v>80.787695312500006</v>
      </c>
      <c r="U17" s="313">
        <f t="shared" ca="1" si="8"/>
        <v>32.451243164062504</v>
      </c>
      <c r="V17" s="313">
        <f t="shared" ca="1" si="9"/>
        <v>28.6133525390625</v>
      </c>
      <c r="W17" s="313">
        <f t="shared" ca="1" si="10"/>
        <v>8.2938476562499996</v>
      </c>
      <c r="X17" s="314">
        <f t="shared" ca="1" si="11"/>
        <v>2.489510029063132</v>
      </c>
      <c r="Y17" s="313">
        <f t="shared" ca="1" si="12"/>
        <v>71.233228111115125</v>
      </c>
      <c r="Z17" s="8">
        <f t="shared" ca="1" si="13"/>
        <v>0.11643228695620268</v>
      </c>
    </row>
    <row r="18" spans="1:26" s="295" customFormat="1">
      <c r="A18" s="3" t="str">
        <f>'VMAX table'!R$1</f>
        <v>FDC</v>
      </c>
      <c r="B18" s="294" t="str">
        <f t="shared" ca="1" si="0"/>
        <v>VMAX 4652</v>
      </c>
      <c r="C18" s="294">
        <v>3</v>
      </c>
      <c r="D18" s="19">
        <f t="shared" ca="1" si="20"/>
        <v>188981.6</v>
      </c>
      <c r="E18" s="12">
        <f t="shared" ca="1" si="20"/>
        <v>5.4</v>
      </c>
      <c r="F18" s="13">
        <f t="shared" ca="1" si="20"/>
        <v>2.8574210399319299E-5</v>
      </c>
      <c r="G18" s="3">
        <f t="shared" ca="1" si="20"/>
        <v>7192</v>
      </c>
      <c r="H18" s="12">
        <f t="shared" ca="1" si="20"/>
        <v>242492.66399999999</v>
      </c>
      <c r="I18" s="12">
        <f t="shared" ca="1" si="20"/>
        <v>328000</v>
      </c>
      <c r="J18" s="12">
        <f t="shared" ca="1" si="20"/>
        <v>160</v>
      </c>
      <c r="K18" s="12">
        <f t="shared" ca="1" si="20"/>
        <v>5394.7199999999993</v>
      </c>
      <c r="L18" s="13">
        <f t="shared" ca="1" si="20"/>
        <v>2.8546271171373292E-2</v>
      </c>
      <c r="M18" s="55">
        <f t="shared" ref="M18" ca="1" si="25">(G18-J18)</f>
        <v>7032</v>
      </c>
      <c r="N18" s="76">
        <f t="shared" ref="N18" ca="1" si="26">(K18-E18)/(D18-E18)</f>
        <v>2.8518511854931993E-2</v>
      </c>
      <c r="O18" s="55">
        <f t="shared" ref="O18" ca="1" si="27">(2.25*(D18-E18)+E18)-K18</f>
        <v>419807.13000000006</v>
      </c>
      <c r="P18" s="121"/>
      <c r="Q18" s="123" t="str">
        <f t="shared" si="5"/>
        <v>R</v>
      </c>
      <c r="S18" s="306" t="str">
        <f t="shared" ca="1" si="6"/>
        <v>VMAX 4652</v>
      </c>
      <c r="T18" s="313">
        <f t="shared" ca="1" si="7"/>
        <v>184.55234375000001</v>
      </c>
      <c r="U18" s="313">
        <f t="shared" ca="1" si="8"/>
        <v>12.135468749999999</v>
      </c>
      <c r="V18" s="313">
        <f t="shared" ca="1" si="9"/>
        <v>5.2682812499999994</v>
      </c>
      <c r="W18" s="313">
        <f t="shared" ca="1" si="10"/>
        <v>5.2734375000000003E-3</v>
      </c>
      <c r="X18" s="314">
        <f t="shared" ca="1" si="11"/>
        <v>15.207681512096515</v>
      </c>
      <c r="Y18" s="313">
        <f t="shared" ca="1" si="12"/>
        <v>80.118343366149716</v>
      </c>
      <c r="Z18" s="8">
        <f t="shared" ca="1" si="13"/>
        <v>6.5820600856657835E-5</v>
      </c>
    </row>
    <row r="19" spans="1:26" s="238" customFormat="1">
      <c r="A19" s="3" t="str">
        <f>'VMAX table'!S$1</f>
        <v>FDC</v>
      </c>
      <c r="B19" s="237" t="str">
        <f t="shared" ca="1" si="0"/>
        <v>VMAX 0349</v>
      </c>
      <c r="C19" s="237">
        <v>3</v>
      </c>
      <c r="D19" s="19">
        <f t="shared" ca="1" si="20"/>
        <v>132070</v>
      </c>
      <c r="E19" s="12">
        <f t="shared" ca="1" si="20"/>
        <v>4.7</v>
      </c>
      <c r="F19" s="13">
        <f t="shared" ca="1" si="20"/>
        <v>3.5587188612099643E-5</v>
      </c>
      <c r="G19" s="3">
        <f t="shared" ca="1" si="20"/>
        <v>6399</v>
      </c>
      <c r="H19" s="12">
        <f t="shared" ca="1" si="20"/>
        <v>215755.08299999998</v>
      </c>
      <c r="I19" s="12">
        <f t="shared" ca="1" si="20"/>
        <v>328000</v>
      </c>
      <c r="J19" s="12">
        <f t="shared" ca="1" si="20"/>
        <v>21</v>
      </c>
      <c r="K19" s="12">
        <f t="shared" ca="1" si="20"/>
        <v>708.05700000000002</v>
      </c>
      <c r="L19" s="13">
        <f t="shared" ca="1" si="20"/>
        <v>5.3612251078973272E-3</v>
      </c>
      <c r="M19" s="55">
        <f t="shared" ca="1" si="2"/>
        <v>6378</v>
      </c>
      <c r="N19" s="76">
        <f t="shared" ca="1" si="23"/>
        <v>5.3258274505112247E-3</v>
      </c>
      <c r="O19" s="55">
        <f t="shared" ca="1" si="24"/>
        <v>296443.56800000003</v>
      </c>
      <c r="P19" s="121"/>
      <c r="Q19" s="123" t="str">
        <f t="shared" si="5"/>
        <v>S</v>
      </c>
      <c r="S19" s="306" t="str">
        <f t="shared" ca="1" si="6"/>
        <v>VMAX 0349</v>
      </c>
      <c r="T19" s="313">
        <f t="shared" ca="1" si="7"/>
        <v>128.974609375</v>
      </c>
      <c r="U19" s="313">
        <f t="shared" ca="1" si="8"/>
        <v>6.9199775390624998</v>
      </c>
      <c r="V19" s="313">
        <f t="shared" ca="1" si="9"/>
        <v>0.69146191406250002</v>
      </c>
      <c r="W19" s="313">
        <f t="shared" ca="1" si="10"/>
        <v>4.5898437500000002E-3</v>
      </c>
      <c r="X19" s="314">
        <f t="shared" ca="1" si="11"/>
        <v>18.638009826903737</v>
      </c>
      <c r="Y19" s="313">
        <f t="shared" ca="1" si="12"/>
        <v>12.887473949226543</v>
      </c>
      <c r="Z19" s="8">
        <f t="shared" ca="1" si="13"/>
        <v>3.5614766463023308E-4</v>
      </c>
    </row>
    <row r="20" spans="1:26" s="302" customFormat="1">
      <c r="A20" s="3" t="s">
        <v>82</v>
      </c>
      <c r="B20" s="301" t="str">
        <f t="shared" ca="1" si="0"/>
        <v>VMAX 2262</v>
      </c>
      <c r="C20" s="301">
        <v>3</v>
      </c>
      <c r="D20" s="19">
        <f t="shared" ca="1" si="20"/>
        <v>55151</v>
      </c>
      <c r="E20" s="12">
        <f t="shared" ca="1" si="20"/>
        <v>8183.4</v>
      </c>
      <c r="F20" s="13">
        <f t="shared" ca="1" si="20"/>
        <v>0.14838171565338795</v>
      </c>
      <c r="G20" s="3">
        <f t="shared" ca="1" si="20"/>
        <v>2000</v>
      </c>
      <c r="H20" s="12">
        <f t="shared" ca="1" si="20"/>
        <v>67434</v>
      </c>
      <c r="I20" s="12">
        <f t="shared" ca="1" si="20"/>
        <v>110302</v>
      </c>
      <c r="J20" s="12">
        <f t="shared" ca="1" si="20"/>
        <v>976</v>
      </c>
      <c r="K20" s="12">
        <f t="shared" ca="1" si="20"/>
        <v>32907.792000000001</v>
      </c>
      <c r="L20" s="13">
        <f t="shared" ca="1" si="20"/>
        <v>0.59668531848923867</v>
      </c>
      <c r="M20" s="55">
        <f t="shared" ref="M20:M21" ca="1" si="28">(G20-J20)</f>
        <v>1024</v>
      </c>
      <c r="N20" s="76">
        <f t="shared" ref="N20:N21" ca="1" si="29">(K20-E20)/(D20-E20)</f>
        <v>0.52641378311857534</v>
      </c>
      <c r="O20" s="55">
        <f t="shared" ref="O20:O21" ca="1" si="30">(2.25*(D20-E20)+E20)-K20</f>
        <v>80952.707999999984</v>
      </c>
      <c r="P20" s="121"/>
      <c r="Q20" s="123" t="str">
        <f t="shared" si="5"/>
        <v>T</v>
      </c>
      <c r="S20" s="306" t="str">
        <f t="shared" ca="1" si="6"/>
        <v>VMAX 2262</v>
      </c>
      <c r="T20" s="313">
        <f t="shared" ca="1" si="7"/>
        <v>53.8583984375</v>
      </c>
      <c r="U20" s="313">
        <f t="shared" ca="1" si="8"/>
        <v>33.136515625000001</v>
      </c>
      <c r="V20" s="313">
        <f t="shared" ca="1" si="9"/>
        <v>32.136515625000001</v>
      </c>
      <c r="W20" s="313">
        <f t="shared" ca="1" si="10"/>
        <v>7.9916015624999996</v>
      </c>
      <c r="X20" s="314">
        <f t="shared" ca="1" si="11"/>
        <v>1.6253488763576058</v>
      </c>
      <c r="Y20" s="313">
        <f t="shared" ca="1" si="12"/>
        <v>52.233049561142394</v>
      </c>
      <c r="Z20" s="8">
        <f t="shared" ca="1" si="13"/>
        <v>0.15299894663713398</v>
      </c>
    </row>
    <row r="21" spans="1:26" s="302" customFormat="1">
      <c r="A21" s="3" t="s">
        <v>82</v>
      </c>
      <c r="B21" s="301" t="str">
        <f t="shared" ca="1" si="0"/>
        <v>VMAX 0377</v>
      </c>
      <c r="C21" s="301">
        <v>3</v>
      </c>
      <c r="D21" s="19">
        <f t="shared" ca="1" si="20"/>
        <v>33090.5</v>
      </c>
      <c r="E21" s="12">
        <f t="shared" ca="1" si="20"/>
        <v>4698.2</v>
      </c>
      <c r="F21" s="13">
        <f t="shared" ca="1" si="20"/>
        <v>0.14198032667986279</v>
      </c>
      <c r="G21" s="3">
        <f t="shared" ca="1" si="20"/>
        <v>1250</v>
      </c>
      <c r="H21" s="12">
        <f t="shared" ca="1" si="20"/>
        <v>42146.25</v>
      </c>
      <c r="I21" s="12">
        <f t="shared" ca="1" si="20"/>
        <v>66181</v>
      </c>
      <c r="J21" s="12">
        <f t="shared" ca="1" si="20"/>
        <v>498</v>
      </c>
      <c r="K21" s="12">
        <f t="shared" ca="1" si="20"/>
        <v>16791.065999999999</v>
      </c>
      <c r="L21" s="13">
        <f t="shared" ca="1" si="20"/>
        <v>0.50742859733156043</v>
      </c>
      <c r="M21" s="55">
        <f t="shared" ca="1" si="28"/>
        <v>752</v>
      </c>
      <c r="N21" s="76">
        <f t="shared" ca="1" si="29"/>
        <v>0.42592061932284453</v>
      </c>
      <c r="O21" s="55">
        <f t="shared" ca="1" si="30"/>
        <v>51789.809000000001</v>
      </c>
      <c r="P21" s="121"/>
      <c r="Q21" s="123" t="str">
        <f t="shared" si="5"/>
        <v>U</v>
      </c>
      <c r="S21" s="306" t="str">
        <f t="shared" ca="1" si="6"/>
        <v>VMAX 0377</v>
      </c>
      <c r="T21" s="313">
        <f t="shared" ca="1" si="7"/>
        <v>32.31494140625</v>
      </c>
      <c r="U21" s="313">
        <f t="shared" ca="1" si="8"/>
        <v>17.131900390624999</v>
      </c>
      <c r="V21" s="313">
        <f t="shared" ca="1" si="9"/>
        <v>16.397525390624999</v>
      </c>
      <c r="W21" s="313">
        <f t="shared" ca="1" si="10"/>
        <v>4.5880859374999998</v>
      </c>
      <c r="X21" s="314">
        <f t="shared" ca="1" si="11"/>
        <v>1.886243829898377</v>
      </c>
      <c r="Y21" s="313">
        <f t="shared" ca="1" si="12"/>
        <v>30.92973109366838</v>
      </c>
      <c r="Z21" s="8">
        <f t="shared" ca="1" si="13"/>
        <v>0.1483390180019776</v>
      </c>
    </row>
    <row r="22" spans="1:26">
      <c r="A22" s="275"/>
      <c r="B22" s="276"/>
      <c r="C22" s="276"/>
      <c r="D22" s="277"/>
      <c r="E22" s="278"/>
      <c r="F22" s="279"/>
      <c r="G22" s="275"/>
      <c r="H22" s="278"/>
      <c r="I22" s="278"/>
      <c r="J22" s="278"/>
      <c r="K22" s="278"/>
      <c r="L22" s="279"/>
      <c r="M22" s="280"/>
      <c r="N22" s="281"/>
      <c r="O22" s="280"/>
      <c r="P22" s="121"/>
      <c r="Q22" s="123"/>
      <c r="S22" s="318"/>
      <c r="T22" s="315"/>
      <c r="U22" s="315"/>
      <c r="V22" s="315"/>
      <c r="W22" s="315"/>
      <c r="X22" s="316"/>
      <c r="Y22" s="315"/>
      <c r="Z22" s="317"/>
    </row>
    <row r="23" spans="1:26">
      <c r="A23" s="3" t="str">
        <f>'HDS table'!C$1</f>
        <v>RDC</v>
      </c>
      <c r="B23" s="321" t="str">
        <f ca="1">LOWER(INDIRECT("'HDS table'!" &amp; $Q3 &amp; B$38))</f>
        <v>rdchds02</v>
      </c>
      <c r="C23" s="17" t="str">
        <f>RIGHT('HDS table'!C$3)</f>
        <v>3</v>
      </c>
      <c r="D23" s="19">
        <f>'HDS table'!C$4</f>
        <v>12184.09130859375</v>
      </c>
      <c r="E23" s="12">
        <f>'HDS table'!C$5</f>
        <v>5736.52734375</v>
      </c>
      <c r="F23" s="13">
        <f>'HDS table'!C$6</f>
        <v>0.47082110585496689</v>
      </c>
      <c r="G23" s="19">
        <f>'HDS table'!C$7</f>
        <v>681</v>
      </c>
      <c r="H23" s="12">
        <f>'HDS table'!C$8</f>
        <v>22474.102478027344</v>
      </c>
      <c r="I23" s="12">
        <f>'HDS table'!H$9</f>
        <v>46507</v>
      </c>
      <c r="J23" s="12">
        <f>'HDS table'!C$10</f>
        <v>409.1530121280673</v>
      </c>
      <c r="K23" s="12">
        <f>'HDS table'!C$11</f>
        <v>13043.73046875</v>
      </c>
      <c r="L23" s="13">
        <f>'HDS table'!C$12</f>
        <v>1.0705542283280431</v>
      </c>
      <c r="M23" s="55">
        <f>(G23-J23)</f>
        <v>271.8469878719327</v>
      </c>
      <c r="N23" s="76">
        <f t="shared" si="3"/>
        <v>1.1333277443765666</v>
      </c>
      <c r="O23" s="55">
        <f t="shared" si="4"/>
        <v>7199.8157958984375</v>
      </c>
      <c r="P23" s="121"/>
      <c r="Q23" s="123" t="str">
        <f>CHAR(46+ROW())</f>
        <v>E</v>
      </c>
      <c r="S23" s="332" t="str">
        <f t="shared" ref="S23:S34" ca="1" si="31">B23</f>
        <v>rdchds02</v>
      </c>
      <c r="T23" s="313">
        <f t="shared" ref="T23:T34" si="32">D23/1024</f>
        <v>11.898526668548584</v>
      </c>
      <c r="U23" s="313">
        <f>(K23+MIN(M23,O23))/1024</f>
        <v>13.003493609982357</v>
      </c>
      <c r="V23" s="313">
        <f t="shared" ref="V23:V34" si="33">K23/1024</f>
        <v>12.738018035888672</v>
      </c>
      <c r="W23" s="313">
        <f t="shared" ref="W23:W34" si="34">E23/1024</f>
        <v>5.6020774841308594</v>
      </c>
      <c r="X23" s="314">
        <f t="shared" ref="X23" si="35">T23/U23</f>
        <v>0.91502537898080516</v>
      </c>
      <c r="Y23" s="313">
        <f t="shared" ref="Y23" si="36">V23*X23</f>
        <v>11.655609780753363</v>
      </c>
      <c r="Z23" s="8">
        <f t="shared" ref="Z23" si="37">W23/Y23</f>
        <v>0.4806335824129459</v>
      </c>
    </row>
    <row r="24" spans="1:26">
      <c r="A24" s="3" t="str">
        <f>'HDS table'!D$1</f>
        <v>RDC</v>
      </c>
      <c r="B24" s="321"/>
      <c r="C24" s="17">
        <v>4</v>
      </c>
      <c r="D24" s="19">
        <f>'HDS table'!D$4+'HDS table'!E$4</f>
        <v>82203.452209472656</v>
      </c>
      <c r="E24" s="12">
        <f>'HDS table'!D$5+'HDS table'!E$5</f>
        <v>39694.34765625</v>
      </c>
      <c r="F24" s="13">
        <f>E24/D24</f>
        <v>0.48287932671124306</v>
      </c>
      <c r="G24" s="19">
        <f>'HDS table'!D$7+'HDS table'!E$7</f>
        <v>3068</v>
      </c>
      <c r="H24" s="12">
        <f>'HDS table'!D$8+'HDS table'!E$8</f>
        <v>133119.08392333984</v>
      </c>
      <c r="I24" s="12">
        <f>'HDS table'!D$9+'HDS table'!E$9</f>
        <v>97916.185180664063</v>
      </c>
      <c r="J24" s="12">
        <f>'HDS table'!D$10+'HDS table'!E$10</f>
        <v>2210.7723685314349</v>
      </c>
      <c r="K24" s="12">
        <f>'HDS table'!D$11+'HDS table'!E$11</f>
        <v>70061.203308105469</v>
      </c>
      <c r="L24" s="13">
        <f>K24/D24</f>
        <v>0.85229028009157037</v>
      </c>
      <c r="M24" s="55">
        <f t="shared" ref="M24:M36" si="38">(G24-J24)</f>
        <v>857.22763146856505</v>
      </c>
      <c r="N24" s="76">
        <f t="shared" si="3"/>
        <v>0.71436121675617203</v>
      </c>
      <c r="O24" s="55">
        <f t="shared" si="4"/>
        <v>65278.629592895508</v>
      </c>
      <c r="P24" s="121"/>
      <c r="Q24" s="123"/>
      <c r="S24" s="332"/>
      <c r="T24" s="313">
        <f t="shared" si="32"/>
        <v>80.276808798313141</v>
      </c>
      <c r="U24" s="313">
        <f t="shared" ref="U24:U36" si="39">(K24+MIN(M24,O24))/1024</f>
        <v>69.256280214427761</v>
      </c>
      <c r="V24" s="313">
        <f t="shared" si="33"/>
        <v>68.419143855571747</v>
      </c>
      <c r="W24" s="313">
        <f t="shared" si="34"/>
        <v>38.764011383056641</v>
      </c>
      <c r="X24" s="314">
        <f t="shared" ref="X24:X34" si="40">T24/U24</f>
        <v>1.1591267759366253</v>
      </c>
      <c r="Y24" s="313">
        <f t="shared" ref="Y24:Y34" si="41">V24*X24</f>
        <v>79.306461629653043</v>
      </c>
      <c r="Z24" s="8">
        <f t="shared" ref="Z24:Z34" si="42">W24/Y24</f>
        <v>0.48878755383234246</v>
      </c>
    </row>
    <row r="25" spans="1:26">
      <c r="A25" s="3" t="str">
        <f>'HDS table'!F$1</f>
        <v>FDC</v>
      </c>
      <c r="B25" s="321" t="str">
        <f ca="1">LOWER(INDIRECT("'HDS table'!" &amp; $Q6 &amp; B$38))</f>
        <v>fdchds02</v>
      </c>
      <c r="C25" s="17" t="str">
        <f>RIGHT('HDS table'!F$3)</f>
        <v>3</v>
      </c>
      <c r="D25" s="19">
        <f>'HDS table'!F$4</f>
        <v>12184.09130859375</v>
      </c>
      <c r="E25" s="12">
        <f>'HDS table'!F$5</f>
        <v>5190.609375</v>
      </c>
      <c r="F25" s="13">
        <f>'HDS table'!F$6</f>
        <v>0.42601530500177154</v>
      </c>
      <c r="G25" s="19">
        <f>'HDS table'!F$7</f>
        <v>681</v>
      </c>
      <c r="H25" s="12">
        <f>'HDS table'!F$8</f>
        <v>22474.102478027344</v>
      </c>
      <c r="I25" s="12">
        <f>'HDS table'!F$9</f>
        <v>24368.1826171875</v>
      </c>
      <c r="J25" s="12">
        <f>'HDS table'!F$10</f>
        <v>398.37828368788735</v>
      </c>
      <c r="K25" s="12">
        <f>'HDS table'!F$11</f>
        <v>12669.955139160156</v>
      </c>
      <c r="L25" s="13">
        <f>'HDS table'!F$12</f>
        <v>1.0398769032717043</v>
      </c>
      <c r="M25" s="55">
        <f t="shared" si="38"/>
        <v>282.62171631211265</v>
      </c>
      <c r="N25" s="76">
        <f t="shared" si="3"/>
        <v>1.0694738093527518</v>
      </c>
      <c r="O25" s="55">
        <f t="shared" si="4"/>
        <v>8255.9885864257812</v>
      </c>
      <c r="P25" s="121"/>
      <c r="Q25" s="123" t="str">
        <f>CHAR(47+ROW())</f>
        <v>H</v>
      </c>
      <c r="S25" s="332" t="str">
        <f t="shared" ca="1" si="31"/>
        <v>fdchds02</v>
      </c>
      <c r="T25" s="313">
        <f t="shared" si="32"/>
        <v>11.898526668548584</v>
      </c>
      <c r="U25" s="313">
        <f t="shared" si="39"/>
        <v>12.649000835422138</v>
      </c>
      <c r="V25" s="313">
        <f t="shared" si="33"/>
        <v>12.37300306558609</v>
      </c>
      <c r="W25" s="313">
        <f t="shared" si="34"/>
        <v>5.0689544677734375</v>
      </c>
      <c r="X25" s="314">
        <f t="shared" si="40"/>
        <v>0.94066929264705768</v>
      </c>
      <c r="Y25" s="313">
        <f t="shared" si="41"/>
        <v>11.638904041624743</v>
      </c>
      <c r="Z25" s="8">
        <f t="shared" si="42"/>
        <v>0.43551819395065933</v>
      </c>
    </row>
    <row r="26" spans="1:26">
      <c r="A26" s="3" t="str">
        <f>'HDS table'!G$1</f>
        <v>FDC</v>
      </c>
      <c r="B26" s="321"/>
      <c r="C26" s="17" t="str">
        <f>RIGHT('HDS table'!G$3)</f>
        <v>4</v>
      </c>
      <c r="D26" s="19">
        <f>'HDS table'!G$4</f>
        <v>82668.373046875</v>
      </c>
      <c r="E26" s="12">
        <f>'HDS table'!G$5</f>
        <v>72979.83984375</v>
      </c>
      <c r="F26" s="13">
        <f>'HDS table'!G$6</f>
        <v>0.88280242073191206</v>
      </c>
      <c r="G26" s="19">
        <f>'HDS table'!G$7</f>
        <v>2660</v>
      </c>
      <c r="H26" s="12">
        <f>'HDS table'!G$8</f>
        <v>122050.80505371094</v>
      </c>
      <c r="I26" s="12">
        <f>'HDS table'!G$9</f>
        <v>121652</v>
      </c>
      <c r="J26" s="12">
        <f>'HDS table'!G$10</f>
        <v>2351.1861134867531</v>
      </c>
      <c r="K26" s="12">
        <f>'HDS table'!G$11</f>
        <v>111338.05133056641</v>
      </c>
      <c r="L26" s="13">
        <f>'HDS table'!G$12</f>
        <v>1.3468034657877566</v>
      </c>
      <c r="M26" s="55">
        <f t="shared" si="38"/>
        <v>308.81388651324687</v>
      </c>
      <c r="N26" s="76">
        <f t="shared" si="3"/>
        <v>3.9591350602425668</v>
      </c>
      <c r="O26" s="55">
        <f t="shared" si="4"/>
        <v>-16559.011779785156</v>
      </c>
      <c r="P26" s="121"/>
      <c r="Q26" s="123"/>
      <c r="S26" s="332"/>
      <c r="T26" s="313">
        <f t="shared" si="32"/>
        <v>80.730833053588867</v>
      </c>
      <c r="U26" s="313">
        <f t="shared" si="39"/>
        <v>92.557655811309814</v>
      </c>
      <c r="V26" s="313">
        <f t="shared" si="33"/>
        <v>108.72856575250626</v>
      </c>
      <c r="W26" s="313">
        <f t="shared" si="34"/>
        <v>71.269374847412109</v>
      </c>
      <c r="X26" s="314">
        <f t="shared" si="40"/>
        <v>0.87222210141286005</v>
      </c>
      <c r="Y26" s="313">
        <f t="shared" si="41"/>
        <v>94.835458104257327</v>
      </c>
      <c r="Z26" s="8">
        <f t="shared" si="42"/>
        <v>0.75150556840314042</v>
      </c>
    </row>
    <row r="27" spans="1:26">
      <c r="A27" s="3" t="str">
        <f>'HDS table'!H$1</f>
        <v>RDC</v>
      </c>
      <c r="B27" s="321" t="str">
        <f ca="1">LOWER(INDIRECT("'HDS table'!" &amp; $Q25 &amp; B$38))</f>
        <v>rdchds03</v>
      </c>
      <c r="C27" s="17" t="str">
        <f>RIGHT('HDS table'!H$3)</f>
        <v>3</v>
      </c>
      <c r="D27" s="19">
        <f>'HDS table'!H$4</f>
        <v>31940.05322265625</v>
      </c>
      <c r="E27" s="12">
        <f>'HDS table'!H$5</f>
        <v>6266.490234375</v>
      </c>
      <c r="F27" s="13">
        <f>'HDS table'!H$6</f>
        <v>0.19619535981016928</v>
      </c>
      <c r="G27" s="19">
        <f>'HDS table'!H$7</f>
        <v>1439</v>
      </c>
      <c r="H27" s="12">
        <f>'HDS table'!H$8</f>
        <v>48095.047912597656</v>
      </c>
      <c r="I27" s="12">
        <f>'HDS table'!H$9</f>
        <v>46507</v>
      </c>
      <c r="J27" s="12">
        <f>'HDS table'!H$10</f>
        <v>375.17836629736144</v>
      </c>
      <c r="K27" s="12">
        <f>'HDS table'!H$11</f>
        <v>11191.075439453125</v>
      </c>
      <c r="L27" s="13">
        <f>'HDS table'!H$12</f>
        <v>0.35037748251198547</v>
      </c>
      <c r="M27" s="55">
        <f t="shared" si="38"/>
        <v>1063.8216337026386</v>
      </c>
      <c r="N27" s="76">
        <f t="shared" si="3"/>
        <v>0.19181541756888057</v>
      </c>
      <c r="O27" s="55">
        <f t="shared" si="4"/>
        <v>52840.931518554688</v>
      </c>
      <c r="P27" s="121"/>
      <c r="Q27" s="123" t="str">
        <f>CHAR(47+ROW())</f>
        <v>J</v>
      </c>
      <c r="S27" s="332" t="str">
        <f t="shared" ca="1" si="31"/>
        <v>rdchds03</v>
      </c>
      <c r="T27" s="313">
        <f t="shared" si="32"/>
        <v>31.191458225250244</v>
      </c>
      <c r="U27" s="313">
        <f t="shared" si="39"/>
        <v>11.967672923003676</v>
      </c>
      <c r="V27" s="313">
        <f t="shared" si="33"/>
        <v>10.928784608840942</v>
      </c>
      <c r="W27" s="313">
        <f t="shared" si="34"/>
        <v>6.1196193695068359</v>
      </c>
      <c r="X27" s="314">
        <f t="shared" si="40"/>
        <v>2.606309382444397</v>
      </c>
      <c r="Y27" s="313">
        <f t="shared" si="41"/>
        <v>28.483793864736068</v>
      </c>
      <c r="Z27" s="8">
        <f t="shared" si="42"/>
        <v>0.21484565569346922</v>
      </c>
    </row>
    <row r="28" spans="1:26">
      <c r="A28" s="3" t="str">
        <f>'HDS table'!I$1</f>
        <v>RDC</v>
      </c>
      <c r="B28" s="321"/>
      <c r="C28" s="17" t="str">
        <f>RIGHT('HDS table'!I$3)</f>
        <v>4</v>
      </c>
      <c r="D28" s="19">
        <f>'HDS table'!I$4</f>
        <v>15030.61328125</v>
      </c>
      <c r="E28" s="12">
        <f>'HDS table'!I$5</f>
        <v>8362.7578125</v>
      </c>
      <c r="F28" s="13">
        <f>'HDS table'!I$6</f>
        <v>0.55638167625083912</v>
      </c>
      <c r="G28" s="19">
        <f>'HDS table'!I$7</f>
        <v>901</v>
      </c>
      <c r="H28" s="12">
        <f>'HDS table'!I$8</f>
        <v>31255.912170410156</v>
      </c>
      <c r="I28" s="12">
        <f>'HDS table'!I$9</f>
        <v>30141</v>
      </c>
      <c r="J28" s="12">
        <f>'HDS table'!I$10</f>
        <v>345.99605497182631</v>
      </c>
      <c r="K28" s="12">
        <f>'HDS table'!I$11</f>
        <v>12002.825317382813</v>
      </c>
      <c r="L28" s="13">
        <f>'HDS table'!I$12</f>
        <v>0.79855858791575629</v>
      </c>
      <c r="M28" s="55">
        <f t="shared" si="38"/>
        <v>555.00394502817369</v>
      </c>
      <c r="N28" s="76">
        <f t="shared" si="3"/>
        <v>0.54591277839518071</v>
      </c>
      <c r="O28" s="55">
        <f t="shared" si="4"/>
        <v>11362.607299804688</v>
      </c>
      <c r="P28" s="121"/>
      <c r="Q28" s="123"/>
      <c r="S28" s="332"/>
      <c r="T28" s="313">
        <f t="shared" si="32"/>
        <v>14.678333282470703</v>
      </c>
      <c r="U28" s="313">
        <f t="shared" si="39"/>
        <v>12.263505139073228</v>
      </c>
      <c r="V28" s="313">
        <f t="shared" si="33"/>
        <v>11.721509099006653</v>
      </c>
      <c r="W28" s="313">
        <f t="shared" si="34"/>
        <v>8.1667556762695313</v>
      </c>
      <c r="X28" s="314">
        <f t="shared" si="40"/>
        <v>1.1969117406493759</v>
      </c>
      <c r="Y28" s="313">
        <f t="shared" si="41"/>
        <v>14.029611858729551</v>
      </c>
      <c r="Z28" s="8">
        <f t="shared" si="42"/>
        <v>0.58210845449640758</v>
      </c>
    </row>
    <row r="29" spans="1:26">
      <c r="A29" s="3" t="str">
        <f>'HDS table'!J$1</f>
        <v>FDC</v>
      </c>
      <c r="B29" s="321" t="str">
        <f ca="1">LOWER(INDIRECT("'HDS table'!" &amp; Q$27 &amp; B$38))</f>
        <v>fdchds03</v>
      </c>
      <c r="C29" s="17" t="str">
        <f>RIGHT('HDS table'!J$3)</f>
        <v>3</v>
      </c>
      <c r="D29" s="19">
        <f>'HDS table'!J$4</f>
        <v>31940.05322265625</v>
      </c>
      <c r="E29" s="12">
        <f>'HDS table'!J$5</f>
        <v>6996.85546875</v>
      </c>
      <c r="F29" s="13">
        <f>'HDS table'!J$6</f>
        <v>0.21906211050978694</v>
      </c>
      <c r="G29" s="19">
        <f>'HDS table'!J$7</f>
        <v>1462</v>
      </c>
      <c r="H29" s="12">
        <f>'HDS table'!J$8</f>
        <v>47312.120056152344</v>
      </c>
      <c r="I29" s="12">
        <f>'HDS table'!J$9</f>
        <v>46507</v>
      </c>
      <c r="J29" s="12">
        <f>'HDS table'!J$10</f>
        <v>443.2744791619748</v>
      </c>
      <c r="K29" s="12">
        <f>'HDS table'!J$11</f>
        <v>11972.53173828125</v>
      </c>
      <c r="L29" s="13">
        <f>'HDS table'!J$12</f>
        <v>0.37484382555094475</v>
      </c>
      <c r="M29" s="55">
        <f t="shared" si="38"/>
        <v>1018.7255208380252</v>
      </c>
      <c r="N29" s="76">
        <f t="shared" si="3"/>
        <v>0.19948028791745559</v>
      </c>
      <c r="O29" s="55">
        <f t="shared" si="4"/>
        <v>51146.518676757812</v>
      </c>
      <c r="P29" s="121"/>
      <c r="Q29" s="123" t="str">
        <f>CHAR(47+ROW())</f>
        <v>L</v>
      </c>
      <c r="S29" s="332" t="str">
        <f t="shared" ca="1" si="31"/>
        <v>fdchds03</v>
      </c>
      <c r="T29" s="313">
        <f t="shared" si="32"/>
        <v>31.191458225250244</v>
      </c>
      <c r="U29" s="313">
        <f t="shared" si="39"/>
        <v>12.686774667108667</v>
      </c>
      <c r="V29" s="313">
        <f t="shared" si="33"/>
        <v>11.691925525665283</v>
      </c>
      <c r="W29" s="313">
        <f t="shared" si="34"/>
        <v>6.8328666687011719</v>
      </c>
      <c r="X29" s="314">
        <f t="shared" si="40"/>
        <v>2.4585806119908664</v>
      </c>
      <c r="Y29" s="313">
        <f t="shared" si="41"/>
        <v>28.745541414241785</v>
      </c>
      <c r="Z29" s="8">
        <f t="shared" si="42"/>
        <v>0.2377017906963434</v>
      </c>
    </row>
    <row r="30" spans="1:26">
      <c r="A30" s="71" t="str">
        <f>'HDS table'!K$1</f>
        <v>FDC</v>
      </c>
      <c r="B30" s="330"/>
      <c r="C30" s="230" t="str">
        <f>RIGHT('HDS table'!K$3)</f>
        <v>4</v>
      </c>
      <c r="D30" s="72">
        <f>'HDS table'!K$4+'HDS table'!L$4</f>
        <v>76966.205078125</v>
      </c>
      <c r="E30" s="232">
        <f>'HDS table'!K$5+'HDS table'!L$5</f>
        <v>26826.720703125</v>
      </c>
      <c r="F30" s="155">
        <f>E30/D30</f>
        <v>0.34855194790875266</v>
      </c>
      <c r="G30" s="72">
        <f>'HDS table'!K$7+'HDS table'!L$7</f>
        <v>2984</v>
      </c>
      <c r="H30" s="232">
        <f>'HDS table'!K$8+'HDS table'!L$8</f>
        <v>131027.60150146484</v>
      </c>
      <c r="I30" s="232">
        <f>'HDS table'!K$9+'HDS table'!L$9</f>
        <v>131402</v>
      </c>
      <c r="J30" s="232">
        <f>'HDS table'!K$10+'HDS table'!L$10</f>
        <v>1411.991868266251</v>
      </c>
      <c r="K30" s="232">
        <f>'HDS table'!K$11+'HDS table'!L$11</f>
        <v>42079.269104003906</v>
      </c>
      <c r="L30" s="155">
        <f>K30/D30</f>
        <v>0.54672396880281537</v>
      </c>
      <c r="M30" s="55">
        <f t="shared" si="38"/>
        <v>1572.008131733749</v>
      </c>
      <c r="N30" s="76">
        <f t="shared" si="3"/>
        <v>0.30420233855623702</v>
      </c>
      <c r="O30" s="55">
        <f t="shared" si="4"/>
        <v>97561.291442871094</v>
      </c>
      <c r="P30" s="121"/>
      <c r="Q30" s="123"/>
      <c r="S30" s="332"/>
      <c r="T30" s="313">
        <f t="shared" si="32"/>
        <v>75.162309646606445</v>
      </c>
      <c r="U30" s="313">
        <f t="shared" si="39"/>
        <v>42.628200425525051</v>
      </c>
      <c r="V30" s="313">
        <f t="shared" si="33"/>
        <v>41.093036234378815</v>
      </c>
      <c r="W30" s="313">
        <f t="shared" si="34"/>
        <v>26.197969436645508</v>
      </c>
      <c r="X30" s="314">
        <f t="shared" si="40"/>
        <v>1.7632062553970849</v>
      </c>
      <c r="Y30" s="313">
        <f t="shared" si="41"/>
        <v>72.455498541715798</v>
      </c>
      <c r="Z30" s="8">
        <f t="shared" si="42"/>
        <v>0.36157324100892346</v>
      </c>
    </row>
    <row r="31" spans="1:26">
      <c r="A31" s="72" t="str">
        <f>'HDS table'!M$1</f>
        <v>RDC</v>
      </c>
      <c r="B31" s="229" t="str">
        <f ca="1">LOWER(INDIRECT("'HDS table'!" &amp; $Q13 &amp; B$39))</f>
        <v>rdchds04</v>
      </c>
      <c r="C31" s="230">
        <v>4</v>
      </c>
      <c r="D31" s="72">
        <f>'HDS table'!M$4</f>
        <v>142777.55859375</v>
      </c>
      <c r="E31" s="232">
        <f>'HDS table'!M$5</f>
        <v>82514.578125</v>
      </c>
      <c r="F31" s="155">
        <f>'HDS table'!M$6</f>
        <v>0.57792400246723385</v>
      </c>
      <c r="G31" s="72">
        <f>'HDS table'!M$7</f>
        <v>3896</v>
      </c>
      <c r="H31" s="232">
        <f>'HDS table'!M$8</f>
        <v>130640.08148193359</v>
      </c>
      <c r="I31" s="232">
        <f>'HDS table'!M$9</f>
        <v>213518</v>
      </c>
      <c r="J31" s="232">
        <f>'HDS table'!M$10</f>
        <v>3310</v>
      </c>
      <c r="K31" s="232">
        <f>'HDS table'!M$11</f>
        <v>92943.746032714844</v>
      </c>
      <c r="L31" s="155">
        <f>'HDS table'!M$12</f>
        <v>0.65096887037528739</v>
      </c>
      <c r="M31" s="55">
        <f t="shared" si="38"/>
        <v>586</v>
      </c>
      <c r="N31" s="233">
        <f t="shared" si="3"/>
        <v>0.1730609376866615</v>
      </c>
      <c r="O31" s="73">
        <f t="shared" si="4"/>
        <v>125162.53814697266</v>
      </c>
      <c r="P31" s="121"/>
      <c r="Q31" s="123" t="str">
        <f t="shared" ref="Q31:Q36" si="43">CHAR(48+ROW())</f>
        <v>O</v>
      </c>
      <c r="S31" s="306" t="str">
        <f t="shared" ca="1" si="31"/>
        <v>rdchds04</v>
      </c>
      <c r="T31" s="313">
        <f t="shared" si="32"/>
        <v>139.43120956420898</v>
      </c>
      <c r="U31" s="313">
        <f t="shared" si="39"/>
        <v>91.33764261007309</v>
      </c>
      <c r="V31" s="313">
        <f t="shared" si="33"/>
        <v>90.76537698507309</v>
      </c>
      <c r="W31" s="313">
        <f t="shared" si="34"/>
        <v>80.580642700195313</v>
      </c>
      <c r="X31" s="314">
        <f t="shared" si="40"/>
        <v>1.5265470574870292</v>
      </c>
      <c r="Y31" s="313">
        <f t="shared" si="41"/>
        <v>138.55761915826426</v>
      </c>
      <c r="Z31" s="8">
        <f t="shared" si="42"/>
        <v>0.58156774914091103</v>
      </c>
    </row>
    <row r="32" spans="1:26" s="147" customFormat="1">
      <c r="A32" s="71" t="str">
        <f>'HDS table'!N$1</f>
        <v>FDC</v>
      </c>
      <c r="B32" s="146" t="str">
        <f ca="1">LOWER(INDIRECT("'HDS table'!" &amp; $Q14 &amp; B$39))</f>
        <v>deolh005n0365</v>
      </c>
      <c r="C32" s="231">
        <v>4</v>
      </c>
      <c r="D32" s="19">
        <f>'HDS table'!N$4</f>
        <v>202908.00750732422</v>
      </c>
      <c r="E32" s="12">
        <f>'HDS table'!N$5</f>
        <v>59599.189453125</v>
      </c>
      <c r="F32" s="155">
        <f>'HDS table'!N$6</f>
        <v>0.29372517223586503</v>
      </c>
      <c r="G32" s="19">
        <f>'HDS table'!N$7</f>
        <v>1630</v>
      </c>
      <c r="H32" s="12">
        <f>'HDS table'!M$8</f>
        <v>130640.08148193359</v>
      </c>
      <c r="I32" s="12">
        <f>'HDS table'!M$9</f>
        <v>213518</v>
      </c>
      <c r="J32" s="12">
        <f>'HDS table'!N$10</f>
        <v>3611.8683095334345</v>
      </c>
      <c r="K32" s="12">
        <f>'HDS table'!N$11</f>
        <v>133066.72882080078</v>
      </c>
      <c r="L32" s="13">
        <f>'HDS table'!N$12</f>
        <v>0.65579831203062589</v>
      </c>
      <c r="M32" s="55">
        <f t="shared" si="38"/>
        <v>-1981.8683095334345</v>
      </c>
      <c r="N32" s="234">
        <f t="shared" ref="N32" si="44">(K32-E32)/(D32-E32)</f>
        <v>0.51265191050484027</v>
      </c>
      <c r="O32" s="55">
        <f t="shared" ref="O32" si="45">(2.25*(D32-E32)+E32)-K32</f>
        <v>248977.30125427246</v>
      </c>
      <c r="P32" s="121"/>
      <c r="Q32" s="123" t="str">
        <f t="shared" si="43"/>
        <v>P</v>
      </c>
      <c r="S32" s="306" t="str">
        <f t="shared" ca="1" si="31"/>
        <v>deolh005n0365</v>
      </c>
      <c r="T32" s="313">
        <f t="shared" si="32"/>
        <v>198.15235108137131</v>
      </c>
      <c r="U32" s="313">
        <f t="shared" si="39"/>
        <v>128.01255909303453</v>
      </c>
      <c r="V32" s="313">
        <f t="shared" si="33"/>
        <v>129.94797736406326</v>
      </c>
      <c r="W32" s="313">
        <f t="shared" si="34"/>
        <v>58.202333450317383</v>
      </c>
      <c r="X32" s="314">
        <f t="shared" si="40"/>
        <v>1.5479133647922929</v>
      </c>
      <c r="Y32" s="313">
        <f t="shared" si="41"/>
        <v>201.14821088955989</v>
      </c>
      <c r="Z32" s="8">
        <f t="shared" si="42"/>
        <v>0.28935049033209292</v>
      </c>
    </row>
    <row r="33" spans="1:26" s="147" customFormat="1">
      <c r="A33" s="71" t="str">
        <f>'HDS table'!O$1</f>
        <v>FDC</v>
      </c>
      <c r="B33" s="146" t="str">
        <f ca="1">LOWER(INDIRECT("'HDS table'!" &amp; $Q31 &amp; B$39))</f>
        <v>deolh004n7026</v>
      </c>
      <c r="C33" s="231">
        <v>4</v>
      </c>
      <c r="D33" s="19">
        <f>'HDS table'!O$4</f>
        <v>210428.203125</v>
      </c>
      <c r="E33" s="12">
        <f>'HDS table'!O$5</f>
        <v>31743.87890625</v>
      </c>
      <c r="F33" s="155">
        <f>'HDS table'!O$6</f>
        <v>0.15085372794536142</v>
      </c>
      <c r="G33" s="19">
        <f>'HDS table'!O$7</f>
        <v>1354</v>
      </c>
      <c r="H33" s="12">
        <f>'HDS table'!M$8</f>
        <v>130640.08148193359</v>
      </c>
      <c r="I33" s="12">
        <f>'HDS table'!M$9</f>
        <v>213518</v>
      </c>
      <c r="J33" s="12">
        <f>'HDS table'!O$10</f>
        <v>926</v>
      </c>
      <c r="K33" s="12">
        <f>'HDS table'!O$11</f>
        <v>220411.99571990967</v>
      </c>
      <c r="L33" s="13">
        <f>'HDS table'!O$12</f>
        <v>1.0474451259224935</v>
      </c>
      <c r="M33" s="55">
        <f t="shared" si="38"/>
        <v>428</v>
      </c>
      <c r="N33" s="234">
        <f t="shared" ref="N33" si="46">(K33-E33)/(D33-E33)</f>
        <v>1.055873914169926</v>
      </c>
      <c r="O33" s="55">
        <f t="shared" ref="O33" si="47">(2.25*(D33-E33)+E33)-K33</f>
        <v>213371.61267852783</v>
      </c>
      <c r="P33" s="121"/>
      <c r="Q33" s="123" t="str">
        <f t="shared" si="43"/>
        <v>Q</v>
      </c>
      <c r="S33" s="306" t="str">
        <f t="shared" ca="1" si="31"/>
        <v>deolh004n7026</v>
      </c>
      <c r="T33" s="313">
        <f t="shared" si="32"/>
        <v>205.49629211425781</v>
      </c>
      <c r="U33" s="313">
        <f t="shared" si="39"/>
        <v>215.66405832022429</v>
      </c>
      <c r="V33" s="313">
        <f t="shared" si="33"/>
        <v>215.24608957022429</v>
      </c>
      <c r="W33" s="313">
        <f t="shared" si="34"/>
        <v>30.999881744384766</v>
      </c>
      <c r="X33" s="314">
        <f t="shared" si="40"/>
        <v>0.95285368231887269</v>
      </c>
      <c r="Y33" s="313">
        <f t="shared" si="41"/>
        <v>205.09802905172612</v>
      </c>
      <c r="Z33" s="8">
        <f t="shared" si="42"/>
        <v>0.15114665844285874</v>
      </c>
    </row>
    <row r="34" spans="1:26" s="147" customFormat="1">
      <c r="A34" s="71" t="str">
        <f>'HDS table'!P$1</f>
        <v>RDC</v>
      </c>
      <c r="B34" s="330" t="str">
        <f ca="1">LOWER(INDIRECT("'HDS table'!" &amp; $Q32 &amp; B$39))</f>
        <v>gbokh005n3518</v>
      </c>
      <c r="C34" s="231">
        <v>4</v>
      </c>
      <c r="D34" s="19">
        <f>'HDS table'!P$4</f>
        <v>172851.73828125</v>
      </c>
      <c r="E34" s="12">
        <f>'HDS table'!P$5</f>
        <v>9313.828125</v>
      </c>
      <c r="F34" s="155">
        <f>'HDS table'!P$6</f>
        <v>5.3883335033896577E-2</v>
      </c>
      <c r="G34" s="19">
        <f>'HDS table'!P$7</f>
        <v>681</v>
      </c>
      <c r="H34" s="12">
        <f>'HDS table'!M$8</f>
        <v>130640.08148193359</v>
      </c>
      <c r="I34" s="12">
        <f>'HDS table'!M$9</f>
        <v>213518</v>
      </c>
      <c r="J34" s="12">
        <f>'HDS table'!P$10</f>
        <v>1926.0875760361866</v>
      </c>
      <c r="K34" s="12">
        <f>'HDS table'!P$11</f>
        <v>65666.190490722656</v>
      </c>
      <c r="L34" s="13">
        <f>'HDS table'!P$12</f>
        <v>0.37989893039939282</v>
      </c>
      <c r="M34" s="55">
        <f t="shared" si="38"/>
        <v>-1245.0875760361866</v>
      </c>
      <c r="N34" s="234">
        <f t="shared" ref="N34:N35" si="48">(K34-E34)/(D34-E34)</f>
        <v>0.34458286957367612</v>
      </c>
      <c r="O34" s="55">
        <f t="shared" ref="O34:O35" si="49">(2.25*(D34-E34)+E34)-K34</f>
        <v>311607.93548583984</v>
      </c>
      <c r="P34" s="121"/>
      <c r="Q34" s="123" t="str">
        <f t="shared" si="43"/>
        <v>R</v>
      </c>
      <c r="S34" s="332" t="str">
        <f t="shared" ca="1" si="31"/>
        <v>gbokh005n3518</v>
      </c>
      <c r="T34" s="313">
        <f t="shared" si="32"/>
        <v>168.8005256652832</v>
      </c>
      <c r="U34" s="313">
        <f t="shared" si="39"/>
        <v>62.911233315123503</v>
      </c>
      <c r="V34" s="313">
        <f t="shared" si="33"/>
        <v>64.127139151096344</v>
      </c>
      <c r="W34" s="313">
        <f t="shared" si="34"/>
        <v>9.0955352783203125</v>
      </c>
      <c r="X34" s="314">
        <f t="shared" si="40"/>
        <v>2.6831539737864989</v>
      </c>
      <c r="Y34" s="313">
        <f t="shared" si="41"/>
        <v>172.06298824082393</v>
      </c>
      <c r="Z34" s="8">
        <f t="shared" si="42"/>
        <v>5.2861660554156829E-2</v>
      </c>
    </row>
    <row r="35" spans="1:26" s="147" customFormat="1">
      <c r="A35" s="71" t="str">
        <f>'HDS table'!Q$1</f>
        <v>RDC</v>
      </c>
      <c r="B35" s="331"/>
      <c r="C35" s="236">
        <v>4</v>
      </c>
      <c r="D35" s="72">
        <f>'HDS table'!Q$4</f>
        <v>76590.891723632813</v>
      </c>
      <c r="E35" s="232">
        <f>'HDS table'!Q$5</f>
        <v>32164.494140625</v>
      </c>
      <c r="F35" s="155">
        <f>'HDS table'!Q$6</f>
        <v>0.41995194750683851</v>
      </c>
      <c r="G35" s="72">
        <f>'HDS table'!Q$7</f>
        <v>1076</v>
      </c>
      <c r="H35" s="232">
        <f>'HDS table'!M$8</f>
        <v>130640.08148193359</v>
      </c>
      <c r="I35" s="232">
        <f>'HDS table'!M$9</f>
        <v>213518</v>
      </c>
      <c r="J35" s="232">
        <f>'HDS table'!Q$10</f>
        <v>1015.0406582464777</v>
      </c>
      <c r="K35" s="232">
        <f>'HDS table'!Q$11</f>
        <v>40999.921875</v>
      </c>
      <c r="L35" s="155">
        <f>'HDS table'!Q$12</f>
        <v>0.53531067405432886</v>
      </c>
      <c r="M35" s="55">
        <f t="shared" si="38"/>
        <v>60.959341753522267</v>
      </c>
      <c r="N35" s="233">
        <f t="shared" si="48"/>
        <v>0.19887787925785749</v>
      </c>
      <c r="O35" s="73">
        <f t="shared" si="49"/>
        <v>91123.966827392578</v>
      </c>
      <c r="P35" s="121"/>
      <c r="Q35" s="123" t="str">
        <f t="shared" si="43"/>
        <v>S</v>
      </c>
      <c r="S35" s="332"/>
      <c r="T35" s="313">
        <f t="shared" ref="T35:T36" si="50">D35/1024</f>
        <v>74.795792698860168</v>
      </c>
      <c r="U35" s="313">
        <f t="shared" si="39"/>
        <v>40.098516813235861</v>
      </c>
      <c r="V35" s="313">
        <f t="shared" ref="V35:V36" si="51">K35/1024</f>
        <v>40.038986206054687</v>
      </c>
      <c r="W35" s="313">
        <f t="shared" ref="W35:W36" si="52">E35/1024</f>
        <v>31.410638809204102</v>
      </c>
      <c r="X35" s="314">
        <f t="shared" ref="X35:X36" si="53">T35/U35</f>
        <v>1.8653007303794167</v>
      </c>
      <c r="Y35" s="313">
        <f t="shared" ref="Y35:Y36" si="54">V35*X35</f>
        <v>74.684750213805202</v>
      </c>
      <c r="Z35" s="8">
        <f t="shared" ref="Z35:Z36" si="55">W35/Y35</f>
        <v>0.42057633880119694</v>
      </c>
    </row>
    <row r="36" spans="1:26" s="147" customFormat="1" ht="15.75" thickBot="1">
      <c r="A36" s="4" t="str">
        <f>'HDS table'!R$1</f>
        <v>RDC</v>
      </c>
      <c r="B36" s="70" t="str">
        <f ca="1">LOWER(INDIRECT("'HDS table'!" &amp; $Q34 &amp; B$39))</f>
        <v>gbokh006n5362</v>
      </c>
      <c r="C36" s="21">
        <v>4</v>
      </c>
      <c r="D36" s="20">
        <f>'HDS table'!R$4</f>
        <v>172851.73828125</v>
      </c>
      <c r="E36" s="15">
        <f>'HDS table'!R$5</f>
        <v>51375.76171875</v>
      </c>
      <c r="F36" s="152">
        <f>'HDS table'!R$6</f>
        <v>0.29722444350056593</v>
      </c>
      <c r="G36" s="20">
        <f>'HDS table'!R$7</f>
        <v>1992</v>
      </c>
      <c r="H36" s="15">
        <f>'HDS table'!M$8</f>
        <v>130640.08148193359</v>
      </c>
      <c r="I36" s="15">
        <f>'HDS table'!M$9</f>
        <v>213518</v>
      </c>
      <c r="J36" s="15">
        <f>'HDS table'!R$10</f>
        <v>1456</v>
      </c>
      <c r="K36" s="15">
        <f>'HDS table'!R$11</f>
        <v>86150.501098632813</v>
      </c>
      <c r="L36" s="152">
        <f>'HDS table'!R$12</f>
        <v>0.49840691193082404</v>
      </c>
      <c r="M36" s="47">
        <f t="shared" si="38"/>
        <v>536</v>
      </c>
      <c r="N36" s="77">
        <f t="shared" ref="N36" si="56">(K36-E36)/(D36-E36)</f>
        <v>0.2862684488236325</v>
      </c>
      <c r="O36" s="47">
        <f t="shared" ref="O36" si="57">(2.25*(D36-E36)+E36)-K36</f>
        <v>238546.20788574219</v>
      </c>
      <c r="P36" s="121"/>
      <c r="Q36" s="124" t="str">
        <f t="shared" si="43"/>
        <v>T</v>
      </c>
      <c r="S36" s="306" t="str">
        <f t="shared" ref="S36" ca="1" si="58">B36</f>
        <v>gbokh006n5362</v>
      </c>
      <c r="T36" s="313">
        <f t="shared" si="50"/>
        <v>168.8005256652832</v>
      </c>
      <c r="U36" s="313">
        <f t="shared" si="39"/>
        <v>84.654786229133606</v>
      </c>
      <c r="V36" s="313">
        <f t="shared" si="51"/>
        <v>84.131348729133606</v>
      </c>
      <c r="W36" s="313">
        <f t="shared" si="52"/>
        <v>50.171642303466797</v>
      </c>
      <c r="X36" s="314">
        <f t="shared" si="53"/>
        <v>1.9939867925292944</v>
      </c>
      <c r="Y36" s="313">
        <f t="shared" si="54"/>
        <v>167.75679820356865</v>
      </c>
      <c r="Z36" s="8">
        <f t="shared" si="55"/>
        <v>0.29907367594477319</v>
      </c>
    </row>
    <row r="37" spans="1:26" ht="15.75" thickBot="1">
      <c r="R37" s="78"/>
      <c r="S37" s="308"/>
      <c r="T37" s="308"/>
      <c r="U37" s="308"/>
      <c r="V37" s="308"/>
      <c r="W37" s="308"/>
      <c r="X37" s="308"/>
      <c r="Y37" s="308"/>
      <c r="Z37" s="308"/>
    </row>
    <row r="38" spans="1:26" ht="15.75" thickBot="1">
      <c r="A38" s="128" t="s">
        <v>4</v>
      </c>
      <c r="B38" s="127">
        <v>2</v>
      </c>
      <c r="C38" s="127"/>
      <c r="D38" s="127">
        <v>3</v>
      </c>
      <c r="E38" s="127">
        <v>4</v>
      </c>
      <c r="F38" s="127">
        <v>5</v>
      </c>
      <c r="G38" s="127">
        <v>6</v>
      </c>
      <c r="H38" s="127">
        <v>7</v>
      </c>
      <c r="I38" s="127">
        <v>8</v>
      </c>
      <c r="J38" s="127">
        <v>9</v>
      </c>
      <c r="K38" s="127">
        <v>10</v>
      </c>
      <c r="L38" s="127">
        <v>11</v>
      </c>
      <c r="M38" s="126">
        <v>12</v>
      </c>
      <c r="S38" s="308" t="s">
        <v>4</v>
      </c>
      <c r="T38" s="312">
        <f ca="1">SUM(T3:T19)</f>
        <v>2512.0459960937505</v>
      </c>
      <c r="U38" s="312">
        <f ca="1">SUM(U3:U19)</f>
        <v>2059.4290498046876</v>
      </c>
      <c r="V38" s="312">
        <f ca="1">SUM(V3:V19)</f>
        <v>2540.49692578125</v>
      </c>
      <c r="W38" s="312">
        <f ca="1">SUM(W3:W19)</f>
        <v>1039.0441406249995</v>
      </c>
      <c r="X38" s="310">
        <f ca="1">T38/U38</f>
        <v>1.2197778779181483</v>
      </c>
      <c r="Y38" s="309">
        <f ca="1">V38*X38</f>
        <v>3098.8419489870325</v>
      </c>
      <c r="Z38" s="311">
        <f ca="1">W38/Y38</f>
        <v>0.33530078581924716</v>
      </c>
    </row>
    <row r="39" spans="1:26" ht="15.75" thickBot="1">
      <c r="A39" s="128" t="s">
        <v>65</v>
      </c>
      <c r="B39" s="125">
        <v>2</v>
      </c>
      <c r="C39" s="125"/>
      <c r="D39" s="125">
        <v>4</v>
      </c>
      <c r="E39" s="125">
        <v>5</v>
      </c>
      <c r="F39" s="125">
        <v>6</v>
      </c>
      <c r="G39" s="125">
        <v>7</v>
      </c>
      <c r="H39" s="125">
        <v>8</v>
      </c>
      <c r="I39" s="125">
        <v>9</v>
      </c>
      <c r="J39" s="125">
        <v>10</v>
      </c>
      <c r="K39" s="127">
        <v>11</v>
      </c>
      <c r="L39" s="127">
        <v>12</v>
      </c>
      <c r="M39" s="126">
        <v>16</v>
      </c>
      <c r="S39" s="308" t="s">
        <v>65</v>
      </c>
      <c r="T39" s="312">
        <f ca="1">SUM(T21:T34)</f>
        <v>1081.2235743999481</v>
      </c>
      <c r="U39" s="312">
        <f ca="1">SUM(U21:U34)</f>
        <v>782.06997735493303</v>
      </c>
      <c r="V39" s="312">
        <f ca="1">SUM(V21:V34)</f>
        <v>794.17809463852643</v>
      </c>
      <c r="W39" s="312">
        <f ca="1">SUM(W21:W34)</f>
        <v>351.48810844421388</v>
      </c>
      <c r="X39" s="310">
        <f ca="1">T39/U39</f>
        <v>1.3825151274273348</v>
      </c>
      <c r="Y39" s="309">
        <f ca="1">V39*X39</f>
        <v>1097.9632297091803</v>
      </c>
      <c r="Z39" s="311">
        <f ca="1">W39/Y39</f>
        <v>0.32012739491951225</v>
      </c>
    </row>
    <row r="42" spans="1:26" s="34" customFormat="1">
      <c r="A42" s="332" t="s">
        <v>71</v>
      </c>
      <c r="B42" s="332"/>
      <c r="C42" s="332"/>
      <c r="D42" s="332"/>
      <c r="E42" s="332"/>
      <c r="F42" s="332"/>
      <c r="G42" s="332"/>
      <c r="H42" s="7"/>
      <c r="I42" s="7"/>
      <c r="J42" s="7"/>
      <c r="K42" s="7"/>
      <c r="L42" s="7"/>
      <c r="M42" s="7"/>
      <c r="Q42" s="115"/>
      <c r="S42" s="8"/>
      <c r="T42" s="7"/>
      <c r="U42" s="7"/>
      <c r="V42" s="7"/>
      <c r="W42" s="7"/>
      <c r="X42" s="7"/>
      <c r="Y42" s="7"/>
      <c r="Z42" s="7"/>
    </row>
    <row r="43" spans="1:26" s="34" customFormat="1">
      <c r="A43" s="7"/>
      <c r="B43" s="115" t="s">
        <v>66</v>
      </c>
      <c r="C43" s="7"/>
      <c r="D43" s="115" t="s">
        <v>67</v>
      </c>
      <c r="E43" s="7"/>
      <c r="F43" s="115" t="s">
        <v>68</v>
      </c>
      <c r="G43" s="7"/>
      <c r="H43" s="7"/>
      <c r="I43" s="7"/>
      <c r="J43" s="332" t="s">
        <v>75</v>
      </c>
      <c r="K43" s="332"/>
      <c r="L43" s="143">
        <v>1.3</v>
      </c>
      <c r="M43" s="7"/>
      <c r="Q43" s="115"/>
      <c r="S43" s="8"/>
      <c r="T43" s="7"/>
      <c r="U43" s="7"/>
      <c r="V43" s="7"/>
      <c r="W43" s="7"/>
      <c r="X43" s="7"/>
      <c r="Y43" s="7"/>
      <c r="Z43" s="7"/>
    </row>
    <row r="44" spans="1:26">
      <c r="A44" s="34"/>
      <c r="B44" s="115" t="s">
        <v>69</v>
      </c>
      <c r="C44" s="34"/>
      <c r="D44" s="115" t="s">
        <v>70</v>
      </c>
      <c r="E44" s="11">
        <f ca="1">MIN(M4:M5,O4:O5)</f>
        <v>612</v>
      </c>
      <c r="H44" s="34"/>
      <c r="I44" s="34"/>
      <c r="J44" s="34"/>
      <c r="K44" s="34"/>
      <c r="L44" s="34"/>
      <c r="M44" s="34"/>
      <c r="S44" s="34"/>
      <c r="T44" s="34"/>
      <c r="U44" s="34"/>
      <c r="V44" s="34"/>
      <c r="W44" s="34"/>
      <c r="X44" s="34"/>
      <c r="Y44" s="34"/>
      <c r="Z44" s="34"/>
    </row>
    <row r="45" spans="1:26">
      <c r="A45" s="34"/>
      <c r="B45" s="34"/>
      <c r="C45" s="34"/>
      <c r="D45" s="34"/>
      <c r="E45" s="34"/>
      <c r="F45" s="34">
        <v>623</v>
      </c>
      <c r="G45" s="11">
        <f ca="1">((143393+2298+48716)*L43)-K3</f>
        <v>72714.037000000011</v>
      </c>
      <c r="H45" s="34"/>
      <c r="I45" s="34"/>
      <c r="J45" s="34"/>
      <c r="K45" s="34"/>
      <c r="L45" s="34"/>
      <c r="M45" s="34"/>
      <c r="S45" s="34"/>
      <c r="T45" s="34"/>
      <c r="U45" s="34"/>
      <c r="V45" s="34"/>
      <c r="W45" s="34"/>
      <c r="X45" s="34"/>
      <c r="Y45" s="34"/>
      <c r="Z45" s="34"/>
    </row>
    <row r="46" spans="1:26">
      <c r="B46" s="115" t="s">
        <v>72</v>
      </c>
      <c r="D46" s="115" t="s">
        <v>74</v>
      </c>
      <c r="E46" s="11">
        <f ca="1">MIN(M9,O9,M13,O13)</f>
        <v>-49990.234999999928</v>
      </c>
    </row>
    <row r="47" spans="1:26">
      <c r="B47" s="115" t="s">
        <v>73</v>
      </c>
      <c r="E47" s="7">
        <v>0</v>
      </c>
    </row>
    <row r="48" spans="1:26">
      <c r="B48" s="115" t="s">
        <v>2</v>
      </c>
      <c r="F48" s="7">
        <v>3073</v>
      </c>
      <c r="G48" s="7">
        <f ca="1">((110072+13787+243584)*L43)-K8</f>
        <v>18214.341000000015</v>
      </c>
    </row>
    <row r="49" spans="2:25">
      <c r="B49" s="115" t="s">
        <v>3</v>
      </c>
      <c r="F49" s="7">
        <v>3004</v>
      </c>
      <c r="G49" s="7">
        <f ca="1">((132132+13787+292299)*L43)-K11</f>
        <v>566682.58700000006</v>
      </c>
    </row>
    <row r="50" spans="2:25">
      <c r="S50" s="7"/>
      <c r="U50" s="8"/>
    </row>
    <row r="52" spans="2:25" ht="15.75" thickBot="1"/>
    <row r="53" spans="2:25">
      <c r="S53" s="31"/>
      <c r="T53" s="319" t="s">
        <v>1</v>
      </c>
      <c r="U53" s="322"/>
      <c r="V53" s="319" t="s">
        <v>2</v>
      </c>
      <c r="W53" s="322"/>
      <c r="X53" s="319" t="s">
        <v>3</v>
      </c>
      <c r="Y53" s="322"/>
    </row>
    <row r="54" spans="2:25" ht="15.75" thickBot="1">
      <c r="S54" s="31"/>
      <c r="T54" s="4" t="s">
        <v>22</v>
      </c>
      <c r="U54" s="21" t="s">
        <v>23</v>
      </c>
      <c r="V54" s="4" t="s">
        <v>22</v>
      </c>
      <c r="W54" s="21" t="s">
        <v>23</v>
      </c>
      <c r="X54" s="4" t="s">
        <v>22</v>
      </c>
      <c r="Y54" s="21" t="s">
        <v>23</v>
      </c>
    </row>
    <row r="55" spans="2:25">
      <c r="S55" s="22" t="s">
        <v>6</v>
      </c>
      <c r="T55" s="25">
        <v>150515.79999999999</v>
      </c>
      <c r="U55" s="26">
        <v>194407</v>
      </c>
      <c r="V55" s="25">
        <v>194639.94453124999</v>
      </c>
      <c r="W55" s="26">
        <v>646674.8654907227</v>
      </c>
      <c r="X55" s="25">
        <v>165455.94453124999</v>
      </c>
      <c r="Y55" s="26">
        <v>597852.578125</v>
      </c>
    </row>
    <row r="56" spans="2:25">
      <c r="S56" s="23" t="s">
        <v>7</v>
      </c>
      <c r="T56" s="27">
        <v>68609.3</v>
      </c>
      <c r="U56" s="28">
        <v>93028.7</v>
      </c>
      <c r="V56" s="27">
        <v>99679.93359375</v>
      </c>
      <c r="W56" s="28">
        <v>229240.89804687499</v>
      </c>
      <c r="X56" s="27">
        <v>51957.799609374997</v>
      </c>
      <c r="Y56" s="28">
        <v>172984.62343750001</v>
      </c>
    </row>
    <row r="57" spans="2:25" ht="15.75" thickBot="1">
      <c r="S57" s="24" t="s">
        <v>8</v>
      </c>
      <c r="T57" s="29">
        <v>0.4558278931514167</v>
      </c>
      <c r="U57" s="30">
        <v>0.47852546461804357</v>
      </c>
      <c r="V57" s="29">
        <v>0.51212475339431729</v>
      </c>
      <c r="W57" s="30">
        <v>0.35449173963629754</v>
      </c>
      <c r="X57" s="29">
        <v>0.31402800157211413</v>
      </c>
      <c r="Y57" s="30">
        <v>0.28934327586245201</v>
      </c>
    </row>
    <row r="58" spans="2:25">
      <c r="S58" s="323" t="s">
        <v>33</v>
      </c>
      <c r="T58" s="324"/>
      <c r="U58" s="324"/>
      <c r="V58" s="324"/>
      <c r="W58" s="324"/>
      <c r="X58" s="324"/>
      <c r="Y58" s="325"/>
    </row>
    <row r="59" spans="2:25">
      <c r="S59" s="142" t="s">
        <v>76</v>
      </c>
      <c r="T59" s="141">
        <f>24000</f>
        <v>24000</v>
      </c>
      <c r="U59" s="141">
        <f>41000</f>
        <v>41000</v>
      </c>
      <c r="V59" s="141">
        <f>24000+44005</f>
        <v>68005</v>
      </c>
      <c r="W59" s="141">
        <f>20190+50000</f>
        <v>70190</v>
      </c>
      <c r="X59" s="141">
        <f>44005</f>
        <v>44005</v>
      </c>
      <c r="Y59" s="140">
        <f>140000+110040+50000</f>
        <v>300040</v>
      </c>
    </row>
    <row r="60" spans="2:25">
      <c r="S60" s="36" t="s">
        <v>34</v>
      </c>
      <c r="T60" s="35">
        <f>23253-T59</f>
        <v>-747</v>
      </c>
      <c r="U60" s="35">
        <f>137847-U59</f>
        <v>96847</v>
      </c>
      <c r="V60" s="35">
        <f>139194-V59</f>
        <v>71189</v>
      </c>
      <c r="W60" s="35">
        <f>147894.3-W59</f>
        <v>77704.299999999988</v>
      </c>
      <c r="X60" s="35">
        <f>115941-X59</f>
        <v>71936</v>
      </c>
      <c r="Y60" s="39">
        <f>351481.28-Y59</f>
        <v>51441.280000000028</v>
      </c>
    </row>
    <row r="61" spans="2:25" ht="15.75" thickBot="1">
      <c r="S61" s="144" t="s">
        <v>35</v>
      </c>
      <c r="T61" s="139">
        <f t="shared" ref="T61:Y61" ca="1" si="59">TODAY()+(28*T60/T$74)</f>
        <v>41430.414225941422</v>
      </c>
      <c r="U61" s="139">
        <f t="shared" ca="1" si="59"/>
        <v>42068.096507352944</v>
      </c>
      <c r="V61" s="139">
        <f t="shared" ca="1" si="59"/>
        <v>41612.08231349539</v>
      </c>
      <c r="W61" s="139">
        <f t="shared" ca="1" si="59"/>
        <v>41526.655860386563</v>
      </c>
      <c r="X61" s="139">
        <f t="shared" ca="1" si="59"/>
        <v>41594.466310477888</v>
      </c>
      <c r="Y61" s="138">
        <f t="shared" ca="1" si="59"/>
        <v>41505.784767049292</v>
      </c>
    </row>
    <row r="62" spans="2:25" ht="15.75" thickBot="1">
      <c r="S62" s="333" t="s">
        <v>36</v>
      </c>
      <c r="T62" s="334"/>
      <c r="U62" s="334"/>
      <c r="V62" s="334"/>
      <c r="W62" s="334"/>
      <c r="X62" s="334"/>
      <c r="Y62" s="335"/>
    </row>
    <row r="63" spans="2:25" ht="15.75" thickBot="1">
      <c r="S63" s="40" t="s">
        <v>34</v>
      </c>
      <c r="T63" s="41">
        <v>1434</v>
      </c>
      <c r="U63" s="41">
        <v>4352</v>
      </c>
      <c r="V63" s="41">
        <v>11930</v>
      </c>
      <c r="W63" s="41">
        <v>26645</v>
      </c>
      <c r="X63" s="41">
        <v>13476</v>
      </c>
      <c r="Y63" s="38">
        <v>23696</v>
      </c>
    </row>
    <row r="64" spans="2:25" ht="15.75" thickBot="1"/>
    <row r="65" spans="19:25">
      <c r="S65" s="31"/>
      <c r="T65" s="319" t="s">
        <v>1</v>
      </c>
      <c r="U65" s="322"/>
      <c r="V65" s="319" t="s">
        <v>2</v>
      </c>
      <c r="W65" s="322"/>
      <c r="X65" s="319" t="s">
        <v>3</v>
      </c>
      <c r="Y65" s="320"/>
    </row>
    <row r="66" spans="19:25" ht="15.75" thickBot="1">
      <c r="S66" s="31"/>
      <c r="T66" s="4" t="s">
        <v>22</v>
      </c>
      <c r="U66" s="21" t="s">
        <v>23</v>
      </c>
      <c r="V66" s="4" t="s">
        <v>22</v>
      </c>
      <c r="W66" s="21" t="s">
        <v>23</v>
      </c>
      <c r="X66" s="4" t="s">
        <v>22</v>
      </c>
      <c r="Y66" s="64" t="s">
        <v>23</v>
      </c>
    </row>
    <row r="67" spans="19:25">
      <c r="S67" s="22" t="s">
        <v>6</v>
      </c>
      <c r="T67" s="25">
        <f ca="1">D4</f>
        <v>150516.70000000001</v>
      </c>
      <c r="U67" s="26">
        <f>((143393+2298+48716))</f>
        <v>194407</v>
      </c>
      <c r="V67" s="25">
        <f ca="1">D5+D23+D27</f>
        <v>194640.84453125001</v>
      </c>
      <c r="W67" s="26">
        <f ca="1">D6+D24+D28+110072+13787+243584</f>
        <v>646674.8654907227</v>
      </c>
      <c r="X67" s="25">
        <f ca="1">D25+D29+D9</f>
        <v>215092.74453125001</v>
      </c>
      <c r="Y67" s="67">
        <f>132132+13787+292299+D26+D30</f>
        <v>597852.578125</v>
      </c>
    </row>
    <row r="68" spans="19:25">
      <c r="S68" s="23" t="s">
        <v>7</v>
      </c>
      <c r="T68" s="27">
        <f ca="1">E4</f>
        <v>78563.7</v>
      </c>
      <c r="U68" s="28">
        <f ca="1">E3</f>
        <v>41671.5</v>
      </c>
      <c r="V68" s="27">
        <f ca="1">E5+E23+E27</f>
        <v>92049.617578125006</v>
      </c>
      <c r="W68" s="28">
        <f ca="1">E6+E24+E28</f>
        <v>209211.30546875001</v>
      </c>
      <c r="X68" s="27">
        <f ca="1">E25+E29+E9</f>
        <v>99749.364843749994</v>
      </c>
      <c r="Y68" s="68">
        <f ca="1">E8+E26+E30</f>
        <v>154826.66054687501</v>
      </c>
    </row>
    <row r="69" spans="19:25" ht="15.75" thickBot="1">
      <c r="S69" s="24" t="s">
        <v>8</v>
      </c>
      <c r="T69" s="29">
        <f t="shared" ref="T69:Y69" ca="1" si="60">T68/T67</f>
        <v>0.52196002171187639</v>
      </c>
      <c r="U69" s="30">
        <f t="shared" ca="1" si="60"/>
        <v>0.21435184947044089</v>
      </c>
      <c r="V69" s="29">
        <f t="shared" ca="1" si="60"/>
        <v>0.47292035646375463</v>
      </c>
      <c r="W69" s="30">
        <f t="shared" ca="1" si="60"/>
        <v>0.3235185355626774</v>
      </c>
      <c r="X69" s="29">
        <f t="shared" ca="1" si="60"/>
        <v>0.46375048615020942</v>
      </c>
      <c r="Y69" s="69">
        <f t="shared" ca="1" si="60"/>
        <v>0.25897130197622664</v>
      </c>
    </row>
    <row r="70" spans="19:25">
      <c r="S70" s="323" t="s">
        <v>33</v>
      </c>
      <c r="T70" s="324"/>
      <c r="U70" s="324"/>
      <c r="V70" s="324"/>
      <c r="W70" s="324"/>
      <c r="X70" s="324"/>
      <c r="Y70" s="329"/>
    </row>
    <row r="71" spans="19:25">
      <c r="S71" s="36" t="s">
        <v>34</v>
      </c>
      <c r="T71" s="35">
        <v>23253</v>
      </c>
      <c r="U71" s="35">
        <v>137847</v>
      </c>
      <c r="V71" s="35">
        <f>T71+X71</f>
        <v>139194</v>
      </c>
      <c r="W71" s="35">
        <f ca="1">G48</f>
        <v>18214.341000000015</v>
      </c>
      <c r="X71" s="35">
        <v>115941</v>
      </c>
      <c r="Y71" s="65">
        <f ca="1">G49</f>
        <v>566682.58700000006</v>
      </c>
    </row>
    <row r="72" spans="19:25">
      <c r="S72" s="36" t="s">
        <v>35</v>
      </c>
      <c r="T72" s="37">
        <f t="shared" ref="T72:Y72" ca="1" si="61">TODAY()+(28*T71/T$74)</f>
        <v>41899.033472803349</v>
      </c>
      <c r="U72" s="54">
        <f t="shared" ca="1" si="61"/>
        <v>42331.883272058825</v>
      </c>
      <c r="V72" s="54">
        <f t="shared" ca="1" si="61"/>
        <v>41771.691701592623</v>
      </c>
      <c r="W72" s="54">
        <f t="shared" ca="1" si="61"/>
        <v>41464.14060979546</v>
      </c>
      <c r="X72" s="54">
        <f t="shared" ca="1" si="61"/>
        <v>41685.898486197686</v>
      </c>
      <c r="Y72" s="66">
        <f t="shared" ca="1" si="61"/>
        <v>42114.611429608376</v>
      </c>
    </row>
    <row r="73" spans="19:25" ht="15.75" thickBot="1">
      <c r="S73" s="326" t="s">
        <v>36</v>
      </c>
      <c r="T73" s="327"/>
      <c r="U73" s="327"/>
      <c r="V73" s="327"/>
      <c r="W73" s="327"/>
      <c r="X73" s="327"/>
      <c r="Y73" s="328"/>
    </row>
    <row r="74" spans="19:25">
      <c r="S74" s="253" t="s">
        <v>34</v>
      </c>
      <c r="T74" s="254">
        <v>1434</v>
      </c>
      <c r="U74" s="254">
        <v>4352</v>
      </c>
      <c r="V74" s="254">
        <v>11930</v>
      </c>
      <c r="W74" s="254">
        <v>26645</v>
      </c>
      <c r="X74" s="254">
        <v>13476</v>
      </c>
      <c r="Y74" s="254">
        <v>23696</v>
      </c>
    </row>
  </sheetData>
  <mergeCells count="28">
    <mergeCell ref="O1:O2"/>
    <mergeCell ref="A1:A2"/>
    <mergeCell ref="B1:B2"/>
    <mergeCell ref="C1:C2"/>
    <mergeCell ref="T65:U65"/>
    <mergeCell ref="G1:L1"/>
    <mergeCell ref="D1:F1"/>
    <mergeCell ref="S73:Y73"/>
    <mergeCell ref="S70:Y70"/>
    <mergeCell ref="B34:B35"/>
    <mergeCell ref="S34:S35"/>
    <mergeCell ref="S23:S24"/>
    <mergeCell ref="S25:S26"/>
    <mergeCell ref="S27:S28"/>
    <mergeCell ref="S29:S30"/>
    <mergeCell ref="S62:Y62"/>
    <mergeCell ref="T53:U53"/>
    <mergeCell ref="B27:B28"/>
    <mergeCell ref="B25:B26"/>
    <mergeCell ref="V53:W53"/>
    <mergeCell ref="B29:B30"/>
    <mergeCell ref="A42:G42"/>
    <mergeCell ref="J43:K43"/>
    <mergeCell ref="X65:Y65"/>
    <mergeCell ref="B23:B24"/>
    <mergeCell ref="X53:Y53"/>
    <mergeCell ref="S58:Y58"/>
    <mergeCell ref="V65:W65"/>
  </mergeCells>
  <conditionalFormatting sqref="L3:L13 L22:L31">
    <cfRule type="cellIs" dxfId="119" priority="79" operator="between">
      <formula>2</formula>
      <formula>1.75</formula>
    </cfRule>
    <cfRule type="cellIs" dxfId="118" priority="81" operator="greaterThan">
      <formula>2</formula>
    </cfRule>
  </conditionalFormatting>
  <conditionalFormatting sqref="F3:F13 F36 F22:F34">
    <cfRule type="cellIs" dxfId="117" priority="82" operator="greaterThan">
      <formula>0.5</formula>
    </cfRule>
  </conditionalFormatting>
  <conditionalFormatting sqref="N3:N13 N22:N31">
    <cfRule type="cellIs" dxfId="116" priority="71" operator="greaterThan">
      <formula>2.25</formula>
    </cfRule>
    <cfRule type="cellIs" dxfId="115" priority="72" operator="between">
      <formula>1.7</formula>
      <formula>2.25</formula>
    </cfRule>
  </conditionalFormatting>
  <conditionalFormatting sqref="L32">
    <cfRule type="cellIs" dxfId="114" priority="68" operator="between">
      <formula>2</formula>
      <formula>1.75</formula>
    </cfRule>
    <cfRule type="cellIs" dxfId="113" priority="69" operator="greaterThan">
      <formula>2</formula>
    </cfRule>
  </conditionalFormatting>
  <conditionalFormatting sqref="N32">
    <cfRule type="cellIs" dxfId="112" priority="66" operator="greaterThan">
      <formula>2.25</formula>
    </cfRule>
    <cfRule type="cellIs" dxfId="111" priority="67" operator="between">
      <formula>1.7</formula>
      <formula>2.25</formula>
    </cfRule>
  </conditionalFormatting>
  <conditionalFormatting sqref="L33">
    <cfRule type="cellIs" dxfId="110" priority="63" operator="between">
      <formula>2</formula>
      <formula>1.75</formula>
    </cfRule>
    <cfRule type="cellIs" dxfId="109" priority="64" operator="greaterThan">
      <formula>2</formula>
    </cfRule>
  </conditionalFormatting>
  <conditionalFormatting sqref="N33">
    <cfRule type="cellIs" dxfId="108" priority="61" operator="greaterThan">
      <formula>2.25</formula>
    </cfRule>
    <cfRule type="cellIs" dxfId="107" priority="62" operator="between">
      <formula>1.7</formula>
      <formula>2.25</formula>
    </cfRule>
  </conditionalFormatting>
  <conditionalFormatting sqref="L34">
    <cfRule type="cellIs" dxfId="106" priority="58" operator="between">
      <formula>2</formula>
      <formula>1.75</formula>
    </cfRule>
    <cfRule type="cellIs" dxfId="105" priority="59" operator="greaterThan">
      <formula>2</formula>
    </cfRule>
  </conditionalFormatting>
  <conditionalFormatting sqref="N34">
    <cfRule type="cellIs" dxfId="104" priority="56" operator="greaterThan">
      <formula>2.25</formula>
    </cfRule>
    <cfRule type="cellIs" dxfId="103" priority="57" operator="between">
      <formula>1.7</formula>
      <formula>2.25</formula>
    </cfRule>
  </conditionalFormatting>
  <conditionalFormatting sqref="L36">
    <cfRule type="cellIs" dxfId="102" priority="53" operator="between">
      <formula>2</formula>
      <formula>1.75</formula>
    </cfRule>
    <cfRule type="cellIs" dxfId="101" priority="54" operator="greaterThan">
      <formula>2</formula>
    </cfRule>
  </conditionalFormatting>
  <conditionalFormatting sqref="N36">
    <cfRule type="cellIs" dxfId="100" priority="51" operator="greaterThan">
      <formula>2.25</formula>
    </cfRule>
    <cfRule type="cellIs" dxfId="99" priority="52" operator="between">
      <formula>1.7</formula>
      <formula>2.25</formula>
    </cfRule>
  </conditionalFormatting>
  <conditionalFormatting sqref="F35">
    <cfRule type="cellIs" dxfId="98" priority="50" operator="greaterThan">
      <formula>0.5</formula>
    </cfRule>
  </conditionalFormatting>
  <conditionalFormatting sqref="L35">
    <cfRule type="cellIs" dxfId="97" priority="48" operator="between">
      <formula>2</formula>
      <formula>1.75</formula>
    </cfRule>
    <cfRule type="cellIs" dxfId="96" priority="49" operator="greaterThan">
      <formula>2</formula>
    </cfRule>
  </conditionalFormatting>
  <conditionalFormatting sqref="N35">
    <cfRule type="cellIs" dxfId="95" priority="46" operator="greaterThan">
      <formula>2.25</formula>
    </cfRule>
    <cfRule type="cellIs" dxfId="94" priority="47" operator="between">
      <formula>1.7</formula>
      <formula>2.25</formula>
    </cfRule>
  </conditionalFormatting>
  <conditionalFormatting sqref="L14">
    <cfRule type="cellIs" dxfId="93" priority="43" operator="between">
      <formula>2</formula>
      <formula>1.75</formula>
    </cfRule>
    <cfRule type="cellIs" dxfId="92" priority="44" operator="greaterThan">
      <formula>2</formula>
    </cfRule>
  </conditionalFormatting>
  <conditionalFormatting sqref="F14">
    <cfRule type="cellIs" dxfId="91" priority="45" operator="greaterThan">
      <formula>0.5</formula>
    </cfRule>
  </conditionalFormatting>
  <conditionalFormatting sqref="N14">
    <cfRule type="cellIs" dxfId="90" priority="41" operator="greaterThan">
      <formula>2.25</formula>
    </cfRule>
    <cfRule type="cellIs" dxfId="89" priority="42" operator="between">
      <formula>1.7</formula>
      <formula>2.25</formula>
    </cfRule>
  </conditionalFormatting>
  <conditionalFormatting sqref="L15">
    <cfRule type="cellIs" dxfId="88" priority="38" operator="between">
      <formula>2</formula>
      <formula>1.75</formula>
    </cfRule>
    <cfRule type="cellIs" dxfId="87" priority="39" operator="greaterThan">
      <formula>2</formula>
    </cfRule>
  </conditionalFormatting>
  <conditionalFormatting sqref="F15">
    <cfRule type="cellIs" dxfId="86" priority="40" operator="greaterThan">
      <formula>0.5</formula>
    </cfRule>
  </conditionalFormatting>
  <conditionalFormatting sqref="N15">
    <cfRule type="cellIs" dxfId="85" priority="36" operator="greaterThan">
      <formula>2.25</formula>
    </cfRule>
    <cfRule type="cellIs" dxfId="84" priority="37" operator="between">
      <formula>1.7</formula>
      <formula>2.25</formula>
    </cfRule>
  </conditionalFormatting>
  <conditionalFormatting sqref="L16">
    <cfRule type="cellIs" dxfId="83" priority="28" operator="between">
      <formula>2</formula>
      <formula>1.75</formula>
    </cfRule>
    <cfRule type="cellIs" dxfId="82" priority="29" operator="greaterThan">
      <formula>2</formula>
    </cfRule>
  </conditionalFormatting>
  <conditionalFormatting sqref="F16">
    <cfRule type="cellIs" dxfId="81" priority="30" operator="greaterThan">
      <formula>0.5</formula>
    </cfRule>
  </conditionalFormatting>
  <conditionalFormatting sqref="N16">
    <cfRule type="cellIs" dxfId="80" priority="26" operator="greaterThan">
      <formula>2.25</formula>
    </cfRule>
    <cfRule type="cellIs" dxfId="79" priority="27" operator="between">
      <formula>1.7</formula>
      <formula>2.25</formula>
    </cfRule>
  </conditionalFormatting>
  <conditionalFormatting sqref="N19">
    <cfRule type="cellIs" dxfId="78" priority="21" operator="greaterThan">
      <formula>2.25</formula>
    </cfRule>
    <cfRule type="cellIs" dxfId="77" priority="22" operator="between">
      <formula>1.7</formula>
      <formula>2.25</formula>
    </cfRule>
  </conditionalFormatting>
  <conditionalFormatting sqref="L19">
    <cfRule type="cellIs" dxfId="76" priority="23" operator="between">
      <formula>2</formula>
      <formula>1.75</formula>
    </cfRule>
    <cfRule type="cellIs" dxfId="75" priority="24" operator="greaterThan">
      <formula>2</formula>
    </cfRule>
  </conditionalFormatting>
  <conditionalFormatting sqref="F19">
    <cfRule type="cellIs" dxfId="74" priority="25" operator="greaterThan">
      <formula>0.5</formula>
    </cfRule>
  </conditionalFormatting>
  <conditionalFormatting sqref="N18">
    <cfRule type="cellIs" dxfId="73" priority="16" operator="greaterThan">
      <formula>2.25</formula>
    </cfRule>
    <cfRule type="cellIs" dxfId="72" priority="17" operator="between">
      <formula>1.7</formula>
      <formula>2.25</formula>
    </cfRule>
  </conditionalFormatting>
  <conditionalFormatting sqref="L18">
    <cfRule type="cellIs" dxfId="71" priority="18" operator="between">
      <formula>2</formula>
      <formula>1.75</formula>
    </cfRule>
    <cfRule type="cellIs" dxfId="70" priority="19" operator="greaterThan">
      <formula>2</formula>
    </cfRule>
  </conditionalFormatting>
  <conditionalFormatting sqref="F18">
    <cfRule type="cellIs" dxfId="69" priority="20" operator="greaterThan">
      <formula>0.5</formula>
    </cfRule>
  </conditionalFormatting>
  <conditionalFormatting sqref="N17">
    <cfRule type="cellIs" dxfId="68" priority="11" operator="greaterThan">
      <formula>2.25</formula>
    </cfRule>
    <cfRule type="cellIs" dxfId="67" priority="12" operator="between">
      <formula>1.7</formula>
      <formula>2.25</formula>
    </cfRule>
  </conditionalFormatting>
  <conditionalFormatting sqref="L17">
    <cfRule type="cellIs" dxfId="66" priority="13" operator="between">
      <formula>2</formula>
      <formula>1.75</formula>
    </cfRule>
    <cfRule type="cellIs" dxfId="65" priority="14" operator="greaterThan">
      <formula>2</formula>
    </cfRule>
  </conditionalFormatting>
  <conditionalFormatting sqref="F17">
    <cfRule type="cellIs" dxfId="64" priority="15" operator="greaterThan">
      <formula>0.5</formula>
    </cfRule>
  </conditionalFormatting>
  <conditionalFormatting sqref="N20">
    <cfRule type="cellIs" dxfId="63" priority="6" operator="greaterThan">
      <formula>2.25</formula>
    </cfRule>
    <cfRule type="cellIs" dxfId="62" priority="7" operator="between">
      <formula>1.7</formula>
      <formula>2.25</formula>
    </cfRule>
  </conditionalFormatting>
  <conditionalFormatting sqref="L20">
    <cfRule type="cellIs" dxfId="61" priority="8" operator="between">
      <formula>2</formula>
      <formula>1.75</formula>
    </cfRule>
    <cfRule type="cellIs" dxfId="60" priority="9" operator="greaterThan">
      <formula>2</formula>
    </cfRule>
  </conditionalFormatting>
  <conditionalFormatting sqref="F20">
    <cfRule type="cellIs" dxfId="59" priority="10" operator="greaterThan">
      <formula>0.5</formula>
    </cfRule>
  </conditionalFormatting>
  <conditionalFormatting sqref="N21">
    <cfRule type="cellIs" dxfId="58" priority="1" operator="greaterThan">
      <formula>2.25</formula>
    </cfRule>
    <cfRule type="cellIs" dxfId="57" priority="2" operator="between">
      <formula>1.7</formula>
      <formula>2.25</formula>
    </cfRule>
  </conditionalFormatting>
  <conditionalFormatting sqref="L21">
    <cfRule type="cellIs" dxfId="56" priority="3" operator="between">
      <formula>2</formula>
      <formula>1.75</formula>
    </cfRule>
    <cfRule type="cellIs" dxfId="55" priority="4" operator="greaterThan">
      <formula>2</formula>
    </cfRule>
  </conditionalFormatting>
  <conditionalFormatting sqref="F21">
    <cfRule type="cellIs" dxfId="54" priority="5" operator="greaterThan">
      <formula>0.5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topLeftCell="D1" workbookViewId="0">
      <selection activeCell="V1" sqref="V1"/>
    </sheetView>
  </sheetViews>
  <sheetFormatPr defaultRowHeight="15"/>
  <cols>
    <col min="2" max="2" width="18.140625" customWidth="1"/>
    <col min="18" max="18" width="10.7109375" bestFit="1" customWidth="1"/>
  </cols>
  <sheetData>
    <row r="1" spans="1:21">
      <c r="A1" s="348" t="s">
        <v>0</v>
      </c>
      <c r="B1" s="349"/>
      <c r="C1" s="261" t="s">
        <v>1</v>
      </c>
      <c r="D1" s="240" t="s">
        <v>1</v>
      </c>
      <c r="E1" s="261" t="s">
        <v>2</v>
      </c>
      <c r="F1" s="129" t="s">
        <v>2</v>
      </c>
      <c r="G1" s="129" t="s">
        <v>2</v>
      </c>
      <c r="H1" s="129" t="s">
        <v>2</v>
      </c>
      <c r="I1" s="129" t="s">
        <v>2</v>
      </c>
      <c r="J1" s="239" t="s">
        <v>2</v>
      </c>
      <c r="K1" s="239" t="s">
        <v>2</v>
      </c>
      <c r="L1" s="240" t="s">
        <v>2</v>
      </c>
      <c r="M1" s="261" t="s">
        <v>3</v>
      </c>
      <c r="N1" s="129" t="s">
        <v>3</v>
      </c>
      <c r="O1" s="239" t="s">
        <v>3</v>
      </c>
      <c r="P1" s="129" t="s">
        <v>3</v>
      </c>
      <c r="Q1" s="239" t="s">
        <v>3</v>
      </c>
      <c r="R1" s="239" t="s">
        <v>3</v>
      </c>
      <c r="S1" s="240" t="s">
        <v>3</v>
      </c>
      <c r="T1" s="271" t="s">
        <v>82</v>
      </c>
      <c r="U1" s="272" t="s">
        <v>82</v>
      </c>
    </row>
    <row r="2" spans="1:21" ht="15.75" thickBot="1">
      <c r="A2" s="350" t="s">
        <v>4</v>
      </c>
      <c r="B2" s="351"/>
      <c r="C2" s="282" t="s">
        <v>52</v>
      </c>
      <c r="D2" s="274" t="s">
        <v>53</v>
      </c>
      <c r="E2" s="282" t="s">
        <v>54</v>
      </c>
      <c r="F2" s="283" t="s">
        <v>55</v>
      </c>
      <c r="G2" s="283" t="s">
        <v>56</v>
      </c>
      <c r="H2" s="283" t="s">
        <v>57</v>
      </c>
      <c r="I2" s="283" t="s">
        <v>58</v>
      </c>
      <c r="J2" s="296" t="s">
        <v>86</v>
      </c>
      <c r="K2" s="296" t="s">
        <v>88</v>
      </c>
      <c r="L2" s="242" t="s">
        <v>90</v>
      </c>
      <c r="M2" s="282" t="s">
        <v>59</v>
      </c>
      <c r="N2" s="283" t="s">
        <v>60</v>
      </c>
      <c r="O2" s="284" t="s">
        <v>61</v>
      </c>
      <c r="P2" s="241" t="s">
        <v>62</v>
      </c>
      <c r="Q2" s="284" t="s">
        <v>87</v>
      </c>
      <c r="R2" s="284" t="s">
        <v>89</v>
      </c>
      <c r="S2" s="274" t="s">
        <v>91</v>
      </c>
      <c r="T2" s="273" t="s">
        <v>83</v>
      </c>
      <c r="U2" s="274" t="s">
        <v>84</v>
      </c>
    </row>
    <row r="3" spans="1:21" ht="15" customHeight="1">
      <c r="A3" s="352" t="s">
        <v>5</v>
      </c>
      <c r="B3" s="119" t="s">
        <v>6</v>
      </c>
      <c r="C3" s="255">
        <v>143393</v>
      </c>
      <c r="D3" s="243">
        <v>150516.70000000001</v>
      </c>
      <c r="E3" s="255">
        <v>150516.70000000001</v>
      </c>
      <c r="F3" s="130">
        <v>181997.8</v>
      </c>
      <c r="G3" s="130">
        <v>165452.5</v>
      </c>
      <c r="H3" s="130">
        <v>132132.9</v>
      </c>
      <c r="I3" s="285">
        <v>170968.6</v>
      </c>
      <c r="J3" s="297">
        <v>165453.5</v>
      </c>
      <c r="K3" s="297">
        <v>92411.6</v>
      </c>
      <c r="L3" s="243">
        <v>132070</v>
      </c>
      <c r="M3" s="255">
        <v>193029.1</v>
      </c>
      <c r="N3" s="130">
        <v>132132.9</v>
      </c>
      <c r="O3" s="130">
        <v>82726.600000000006</v>
      </c>
      <c r="P3" s="130">
        <v>275755</v>
      </c>
      <c r="Q3" s="297">
        <v>82726.600000000006</v>
      </c>
      <c r="R3" s="297">
        <v>188981.6</v>
      </c>
      <c r="S3" s="243">
        <v>132070</v>
      </c>
      <c r="T3" s="256">
        <v>55151</v>
      </c>
      <c r="U3" s="243">
        <v>33090.5</v>
      </c>
    </row>
    <row r="4" spans="1:21">
      <c r="A4" s="353"/>
      <c r="B4" s="134" t="s">
        <v>7</v>
      </c>
      <c r="C4" s="257">
        <v>41671.5</v>
      </c>
      <c r="D4" s="244">
        <v>78563.7</v>
      </c>
      <c r="E4" s="257">
        <v>80046.600000000006</v>
      </c>
      <c r="F4" s="131">
        <v>161154.20000000001</v>
      </c>
      <c r="G4" s="131">
        <v>103958.2</v>
      </c>
      <c r="H4" s="131">
        <v>55020.1</v>
      </c>
      <c r="I4" s="131">
        <v>87561.9</v>
      </c>
      <c r="J4" s="298">
        <v>16517.900000000001</v>
      </c>
      <c r="K4" s="298">
        <v>2.7</v>
      </c>
      <c r="L4" s="244">
        <v>4.7</v>
      </c>
      <c r="M4" s="257">
        <v>161405.79999999999</v>
      </c>
      <c r="N4" s="131">
        <v>56132.5</v>
      </c>
      <c r="O4" s="131">
        <v>53380.2</v>
      </c>
      <c r="P4" s="131">
        <v>160058.20000000001</v>
      </c>
      <c r="Q4" s="298">
        <v>8492.9</v>
      </c>
      <c r="R4" s="298">
        <v>5.4</v>
      </c>
      <c r="S4" s="244">
        <v>4.7</v>
      </c>
      <c r="T4" s="258">
        <v>8183.4</v>
      </c>
      <c r="U4" s="244">
        <v>4698.2</v>
      </c>
    </row>
    <row r="5" spans="1:21" ht="15.75" thickBot="1">
      <c r="A5" s="354"/>
      <c r="B5" s="303" t="s">
        <v>8</v>
      </c>
      <c r="C5" s="259">
        <v>0.29061042031340439</v>
      </c>
      <c r="D5" s="286">
        <v>0.52196002171187639</v>
      </c>
      <c r="E5" s="259">
        <v>0.53181208463911311</v>
      </c>
      <c r="F5" s="291">
        <v>0.88547334088653828</v>
      </c>
      <c r="G5" s="132">
        <v>0.62832655898218526</v>
      </c>
      <c r="H5" s="132">
        <v>0.41639970060446718</v>
      </c>
      <c r="I5" s="132">
        <v>0.51215193901102307</v>
      </c>
      <c r="J5" s="245">
        <v>9.9834092358275894E-2</v>
      </c>
      <c r="K5" s="245">
        <v>2.9217111271745105E-5</v>
      </c>
      <c r="L5" s="246">
        <v>3.5587188612099643E-5</v>
      </c>
      <c r="M5" s="292">
        <v>0.83617340597868395</v>
      </c>
      <c r="N5" s="132">
        <v>0.42481849713432462</v>
      </c>
      <c r="O5" s="245">
        <v>0.64526041200774586</v>
      </c>
      <c r="P5" s="132">
        <v>0.58043625682217914</v>
      </c>
      <c r="Q5" s="245">
        <v>0.1026622634074167</v>
      </c>
      <c r="R5" s="245">
        <v>2.8574210399319299E-5</v>
      </c>
      <c r="S5" s="246">
        <v>3.5587188612099643E-5</v>
      </c>
      <c r="T5" s="260">
        <v>0.14838171565338795</v>
      </c>
      <c r="U5" s="246">
        <v>0.14198032667986279</v>
      </c>
    </row>
    <row r="6" spans="1:21" ht="15" customHeight="1">
      <c r="A6" s="355" t="s">
        <v>9</v>
      </c>
      <c r="B6" s="119" t="s">
        <v>10</v>
      </c>
      <c r="C6" s="261">
        <v>5870</v>
      </c>
      <c r="D6" s="240">
        <v>3333</v>
      </c>
      <c r="E6" s="261">
        <v>3330</v>
      </c>
      <c r="F6" s="129">
        <v>9457</v>
      </c>
      <c r="G6" s="293">
        <v>8428</v>
      </c>
      <c r="H6" s="129">
        <v>15703</v>
      </c>
      <c r="I6" s="129">
        <v>7403</v>
      </c>
      <c r="J6" s="239">
        <v>9599</v>
      </c>
      <c r="K6" s="239">
        <v>3593</v>
      </c>
      <c r="L6" s="240">
        <v>6399</v>
      </c>
      <c r="M6" s="261">
        <v>9289</v>
      </c>
      <c r="N6" s="129">
        <v>12295</v>
      </c>
      <c r="O6" s="293">
        <v>4354</v>
      </c>
      <c r="P6" s="129">
        <v>10027</v>
      </c>
      <c r="Q6" s="239">
        <v>4799</v>
      </c>
      <c r="R6" s="239">
        <v>7192</v>
      </c>
      <c r="S6" s="240">
        <v>6399</v>
      </c>
      <c r="T6" s="262">
        <v>2000</v>
      </c>
      <c r="U6" s="240">
        <v>1250</v>
      </c>
    </row>
    <row r="7" spans="1:21">
      <c r="A7" s="356"/>
      <c r="B7" s="120" t="s">
        <v>11</v>
      </c>
      <c r="C7" s="263">
        <v>197918.78999999998</v>
      </c>
      <c r="D7" s="247">
        <v>112378.761</v>
      </c>
      <c r="E7" s="263">
        <v>112277.61</v>
      </c>
      <c r="F7" s="287">
        <v>318861.66899999999</v>
      </c>
      <c r="G7" s="133">
        <v>284166.87599999999</v>
      </c>
      <c r="H7" s="288">
        <v>529458.05099999998</v>
      </c>
      <c r="I7" s="288">
        <v>249606.951</v>
      </c>
      <c r="J7" s="287">
        <v>323649.48300000001</v>
      </c>
      <c r="K7" s="299">
        <v>121145.181</v>
      </c>
      <c r="L7" s="247">
        <v>215755.08299999998</v>
      </c>
      <c r="M7" s="264">
        <v>313197.21299999999</v>
      </c>
      <c r="N7" s="133">
        <v>414550.51499999996</v>
      </c>
      <c r="O7" s="133">
        <v>146803.818</v>
      </c>
      <c r="P7" s="288">
        <v>338080.359</v>
      </c>
      <c r="Q7" s="287">
        <v>161807.883</v>
      </c>
      <c r="R7" s="299">
        <v>242492.66399999999</v>
      </c>
      <c r="S7" s="247">
        <v>215755.08299999998</v>
      </c>
      <c r="T7" s="263">
        <v>67434</v>
      </c>
      <c r="U7" s="288">
        <v>42146.25</v>
      </c>
    </row>
    <row r="8" spans="1:21">
      <c r="A8" s="356"/>
      <c r="B8" s="120" t="s">
        <v>12</v>
      </c>
      <c r="C8" s="263">
        <v>164000</v>
      </c>
      <c r="D8" s="247">
        <v>109880</v>
      </c>
      <c r="E8" s="263">
        <v>109880</v>
      </c>
      <c r="F8" s="133">
        <v>328000</v>
      </c>
      <c r="G8" s="133">
        <v>330905</v>
      </c>
      <c r="H8" s="133">
        <v>264264</v>
      </c>
      <c r="I8" s="133">
        <v>242663.6</v>
      </c>
      <c r="J8" s="299">
        <v>328000</v>
      </c>
      <c r="K8" s="299">
        <v>328000</v>
      </c>
      <c r="L8" s="247">
        <v>328000</v>
      </c>
      <c r="M8" s="263">
        <v>328000</v>
      </c>
      <c r="N8" s="133">
        <v>264264.40000000002</v>
      </c>
      <c r="O8" s="133">
        <v>328000</v>
      </c>
      <c r="P8" s="133">
        <v>352965.4</v>
      </c>
      <c r="Q8" s="299">
        <v>328000</v>
      </c>
      <c r="R8" s="299">
        <v>328000</v>
      </c>
      <c r="S8" s="247">
        <v>328000</v>
      </c>
      <c r="T8" s="264">
        <v>110302</v>
      </c>
      <c r="U8" s="247">
        <v>66181</v>
      </c>
    </row>
    <row r="9" spans="1:21">
      <c r="A9" s="356"/>
      <c r="B9" s="134" t="s">
        <v>13</v>
      </c>
      <c r="C9" s="265">
        <v>5339</v>
      </c>
      <c r="D9" s="249">
        <v>2687</v>
      </c>
      <c r="E9" s="265">
        <v>2718</v>
      </c>
      <c r="F9" s="135">
        <v>8246</v>
      </c>
      <c r="G9" s="135">
        <v>3878</v>
      </c>
      <c r="H9" s="135">
        <v>13627</v>
      </c>
      <c r="I9" s="135">
        <v>6154</v>
      </c>
      <c r="J9" s="248">
        <v>427</v>
      </c>
      <c r="K9" s="248">
        <v>89</v>
      </c>
      <c r="L9" s="249">
        <v>87</v>
      </c>
      <c r="M9" s="265">
        <v>8380</v>
      </c>
      <c r="N9" s="135">
        <v>11131</v>
      </c>
      <c r="O9" s="248">
        <v>4025</v>
      </c>
      <c r="P9" s="135">
        <v>7440</v>
      </c>
      <c r="Q9" s="248">
        <v>869</v>
      </c>
      <c r="R9" s="248">
        <v>160</v>
      </c>
      <c r="S9" s="249">
        <v>21</v>
      </c>
      <c r="T9" s="266">
        <v>976</v>
      </c>
      <c r="U9" s="249">
        <v>498</v>
      </c>
    </row>
    <row r="10" spans="1:21">
      <c r="A10" s="356"/>
      <c r="B10" s="304" t="s">
        <v>14</v>
      </c>
      <c r="C10" s="263">
        <v>180015.06299999999</v>
      </c>
      <c r="D10" s="289">
        <v>90597.578999999998</v>
      </c>
      <c r="E10" s="263">
        <v>91642.805999999997</v>
      </c>
      <c r="F10" s="289">
        <v>278030.38199999998</v>
      </c>
      <c r="G10" s="290">
        <v>261509.052</v>
      </c>
      <c r="H10" s="290">
        <v>459461.55900000001</v>
      </c>
      <c r="I10" s="290">
        <v>140060.41800000001</v>
      </c>
      <c r="J10" s="305">
        <v>14397.159</v>
      </c>
      <c r="K10" s="305">
        <v>3000.8130000000001</v>
      </c>
      <c r="L10" s="250">
        <v>2933.3789999999999</v>
      </c>
      <c r="M10" s="267">
        <v>282548.45999999996</v>
      </c>
      <c r="N10" s="290">
        <v>375303.92699999997</v>
      </c>
      <c r="O10" s="290">
        <v>135710.92499999999</v>
      </c>
      <c r="P10" s="290">
        <v>250854.47999999998</v>
      </c>
      <c r="Q10" s="305">
        <v>29300.073</v>
      </c>
      <c r="R10" s="305">
        <v>5394.7199999999993</v>
      </c>
      <c r="S10" s="250">
        <v>708.05700000000002</v>
      </c>
      <c r="T10" s="268">
        <v>32907.792000000001</v>
      </c>
      <c r="U10" s="269">
        <v>16791.065999999999</v>
      </c>
    </row>
    <row r="11" spans="1:21" ht="15.75" thickBot="1">
      <c r="A11" s="357"/>
      <c r="B11" s="303" t="s">
        <v>15</v>
      </c>
      <c r="C11" s="259">
        <v>1.2553964489201006</v>
      </c>
      <c r="D11" s="246">
        <v>0.60191047903654538</v>
      </c>
      <c r="E11" s="270">
        <v>0.60885473837786763</v>
      </c>
      <c r="F11" s="136">
        <v>1.5276579277331923</v>
      </c>
      <c r="G11" s="136">
        <v>1.5805687553829648</v>
      </c>
      <c r="H11" s="136">
        <v>3.4772684093060851</v>
      </c>
      <c r="I11" s="136">
        <v>0.81921720128725395</v>
      </c>
      <c r="J11" s="300">
        <v>8.7016345982405929E-2</v>
      </c>
      <c r="K11" s="300">
        <v>3.2472254565444163E-2</v>
      </c>
      <c r="L11" s="252">
        <v>2.2210789732717496E-2</v>
      </c>
      <c r="M11" s="270">
        <v>1.4637609562496015</v>
      </c>
      <c r="N11" s="136">
        <v>2.8403518502961789</v>
      </c>
      <c r="O11" s="136">
        <v>1.6404750708961806</v>
      </c>
      <c r="P11" s="251">
        <v>0.90970056753277362</v>
      </c>
      <c r="Q11" s="300">
        <v>0.35417958673510092</v>
      </c>
      <c r="R11" s="300">
        <v>2.8546271171373292E-2</v>
      </c>
      <c r="S11" s="252">
        <v>5.3612251078973272E-3</v>
      </c>
      <c r="T11" s="259">
        <v>0.59668531848923867</v>
      </c>
      <c r="U11" s="246">
        <v>0.50742859733156043</v>
      </c>
    </row>
    <row r="12" spans="1:21" ht="15.75" customHeight="1" thickBot="1">
      <c r="A12" s="358" t="s">
        <v>32</v>
      </c>
      <c r="B12" s="359"/>
      <c r="C12" s="137">
        <v>-4397.679999999993</v>
      </c>
      <c r="D12" s="137">
        <v>20623.160000000003</v>
      </c>
      <c r="E12" s="137">
        <v>20791.760000000009</v>
      </c>
      <c r="F12" s="137">
        <v>43369.479999999981</v>
      </c>
      <c r="G12" s="137">
        <v>138701</v>
      </c>
      <c r="H12" s="137">
        <v>-146898.40000000002</v>
      </c>
      <c r="I12" s="137">
        <v>86438.840000000026</v>
      </c>
      <c r="J12" s="137">
        <v>62050.359999999986</v>
      </c>
      <c r="K12" s="137">
        <v>62050.359999999986</v>
      </c>
      <c r="L12" s="137">
        <v>-31325.119999999995</v>
      </c>
      <c r="M12" s="137">
        <v>59942.720000000016</v>
      </c>
      <c r="N12" s="137">
        <v>-28340.359999999986</v>
      </c>
      <c r="O12" s="32"/>
      <c r="P12" s="32"/>
      <c r="Q12" s="118"/>
      <c r="R12" s="32"/>
    </row>
    <row r="13" spans="1:21">
      <c r="B13" s="347"/>
      <c r="C13" s="347"/>
      <c r="D13" s="347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7"/>
    </row>
    <row r="19" spans="8:8">
      <c r="H19" t="s">
        <v>39</v>
      </c>
    </row>
  </sheetData>
  <mergeCells count="6">
    <mergeCell ref="B13:D13"/>
    <mergeCell ref="A1:B1"/>
    <mergeCell ref="A2:B2"/>
    <mergeCell ref="A3:A5"/>
    <mergeCell ref="A6:A11"/>
    <mergeCell ref="A12:B12"/>
  </mergeCells>
  <conditionalFormatting sqref="J11">
    <cfRule type="cellIs" dxfId="53" priority="51" stopIfTrue="1" operator="greaterThan">
      <formula>1.75</formula>
    </cfRule>
    <cfRule type="cellIs" dxfId="52" priority="52" stopIfTrue="1" operator="between">
      <formula>1.25</formula>
      <formula>1.75</formula>
    </cfRule>
  </conditionalFormatting>
  <conditionalFormatting sqref="C11:I11 M11:O11">
    <cfRule type="cellIs" dxfId="51" priority="49" stopIfTrue="1" operator="greaterThan">
      <formula>1.75</formula>
    </cfRule>
    <cfRule type="cellIs" dxfId="50" priority="50" stopIfTrue="1" operator="between">
      <formula>1.25</formula>
      <formula>1.75</formula>
    </cfRule>
  </conditionalFormatting>
  <conditionalFormatting sqref="C11:I11 M11:O11">
    <cfRule type="cellIs" dxfId="49" priority="47" stopIfTrue="1" operator="greaterThan">
      <formula>1.75</formula>
    </cfRule>
    <cfRule type="cellIs" dxfId="48" priority="48" stopIfTrue="1" operator="between">
      <formula>1.25</formula>
      <formula>1.75</formula>
    </cfRule>
  </conditionalFormatting>
  <conditionalFormatting sqref="C11:I11 M11:O11">
    <cfRule type="cellIs" dxfId="47" priority="45" stopIfTrue="1" operator="greaterThan">
      <formula>1.75</formula>
    </cfRule>
    <cfRule type="cellIs" dxfId="46" priority="46" stopIfTrue="1" operator="between">
      <formula>1.25</formula>
      <formula>1.75</formula>
    </cfRule>
  </conditionalFormatting>
  <conditionalFormatting sqref="P11">
    <cfRule type="cellIs" dxfId="45" priority="43" stopIfTrue="1" operator="greaterThan">
      <formula>1.75</formula>
    </cfRule>
    <cfRule type="cellIs" dxfId="44" priority="44" stopIfTrue="1" operator="between">
      <formula>1.25</formula>
      <formula>1.75</formula>
    </cfRule>
  </conditionalFormatting>
  <conditionalFormatting sqref="P11">
    <cfRule type="cellIs" dxfId="43" priority="41" stopIfTrue="1" operator="greaterThan">
      <formula>1.75</formula>
    </cfRule>
    <cfRule type="cellIs" dxfId="42" priority="42" stopIfTrue="1" operator="between">
      <formula>1.25</formula>
      <formula>1.75</formula>
    </cfRule>
  </conditionalFormatting>
  <conditionalFormatting sqref="P11">
    <cfRule type="cellIs" dxfId="41" priority="39" stopIfTrue="1" operator="greaterThan">
      <formula>1.75</formula>
    </cfRule>
    <cfRule type="cellIs" dxfId="40" priority="40" stopIfTrue="1" operator="between">
      <formula>1.25</formula>
      <formula>1.75</formula>
    </cfRule>
  </conditionalFormatting>
  <conditionalFormatting sqref="U11">
    <cfRule type="cellIs" dxfId="39" priority="37" stopIfTrue="1" operator="greaterThan">
      <formula>1.75</formula>
    </cfRule>
    <cfRule type="cellIs" dxfId="38" priority="38" stopIfTrue="1" operator="between">
      <formula>1.25</formula>
      <formula>1.75</formula>
    </cfRule>
  </conditionalFormatting>
  <conditionalFormatting sqref="T11">
    <cfRule type="cellIs" dxfId="37" priority="35" stopIfTrue="1" operator="greaterThan">
      <formula>1.75</formula>
    </cfRule>
    <cfRule type="cellIs" dxfId="36" priority="36" stopIfTrue="1" operator="between">
      <formula>1.25</formula>
      <formula>1.75</formula>
    </cfRule>
  </conditionalFormatting>
  <conditionalFormatting sqref="Q11">
    <cfRule type="cellIs" dxfId="35" priority="33" stopIfTrue="1" operator="greaterThan">
      <formula>1.75</formula>
    </cfRule>
    <cfRule type="cellIs" dxfId="34" priority="34" stopIfTrue="1" operator="between">
      <formula>1.25</formula>
      <formula>1.75</formula>
    </cfRule>
  </conditionalFormatting>
  <conditionalFormatting sqref="Q11">
    <cfRule type="cellIs" dxfId="33" priority="31" stopIfTrue="1" operator="greaterThan">
      <formula>1.75</formula>
    </cfRule>
    <cfRule type="cellIs" dxfId="32" priority="32" stopIfTrue="1" operator="between">
      <formula>1.25</formula>
      <formula>1.75</formula>
    </cfRule>
  </conditionalFormatting>
  <conditionalFormatting sqref="Q11">
    <cfRule type="cellIs" dxfId="31" priority="29" stopIfTrue="1" operator="greaterThan">
      <formula>1.75</formula>
    </cfRule>
    <cfRule type="cellIs" dxfId="30" priority="30" stopIfTrue="1" operator="between">
      <formula>1.25</formula>
      <formula>1.75</formula>
    </cfRule>
  </conditionalFormatting>
  <conditionalFormatting sqref="J11">
    <cfRule type="cellIs" dxfId="29" priority="27" stopIfTrue="1" operator="greaterThan">
      <formula>1.75</formula>
    </cfRule>
    <cfRule type="cellIs" dxfId="28" priority="28" stopIfTrue="1" operator="between">
      <formula>1.25</formula>
      <formula>1.75</formula>
    </cfRule>
  </conditionalFormatting>
  <conditionalFormatting sqref="J11">
    <cfRule type="cellIs" dxfId="27" priority="25" stopIfTrue="1" operator="greaterThan">
      <formula>1.75</formula>
    </cfRule>
    <cfRule type="cellIs" dxfId="26" priority="26" stopIfTrue="1" operator="between">
      <formula>1.25</formula>
      <formula>1.75</formula>
    </cfRule>
  </conditionalFormatting>
  <conditionalFormatting sqref="R11">
    <cfRule type="cellIs" dxfId="25" priority="23" stopIfTrue="1" operator="greaterThan">
      <formula>1.75</formula>
    </cfRule>
    <cfRule type="cellIs" dxfId="24" priority="24" stopIfTrue="1" operator="between">
      <formula>1.25</formula>
      <formula>1.75</formula>
    </cfRule>
  </conditionalFormatting>
  <conditionalFormatting sqref="K11">
    <cfRule type="cellIs" dxfId="23" priority="21" stopIfTrue="1" operator="greaterThan">
      <formula>1.75</formula>
    </cfRule>
    <cfRule type="cellIs" dxfId="22" priority="22" stopIfTrue="1" operator="between">
      <formula>1.25</formula>
      <formula>1.75</formula>
    </cfRule>
  </conditionalFormatting>
  <conditionalFormatting sqref="R11">
    <cfRule type="cellIs" dxfId="21" priority="19" stopIfTrue="1" operator="greaterThan">
      <formula>1.75</formula>
    </cfRule>
    <cfRule type="cellIs" dxfId="20" priority="20" stopIfTrue="1" operator="between">
      <formula>1.25</formula>
      <formula>1.75</formula>
    </cfRule>
  </conditionalFormatting>
  <conditionalFormatting sqref="R11">
    <cfRule type="cellIs" dxfId="19" priority="17" stopIfTrue="1" operator="greaterThan">
      <formula>1.75</formula>
    </cfRule>
    <cfRule type="cellIs" dxfId="18" priority="18" stopIfTrue="1" operator="between">
      <formula>1.25</formula>
      <formula>1.75</formula>
    </cfRule>
  </conditionalFormatting>
  <conditionalFormatting sqref="K11">
    <cfRule type="cellIs" dxfId="17" priority="15" stopIfTrue="1" operator="greaterThan">
      <formula>1.75</formula>
    </cfRule>
    <cfRule type="cellIs" dxfId="16" priority="16" stopIfTrue="1" operator="between">
      <formula>1.25</formula>
      <formula>1.75</formula>
    </cfRule>
  </conditionalFormatting>
  <conditionalFormatting sqref="K11">
    <cfRule type="cellIs" dxfId="15" priority="13" stopIfTrue="1" operator="greaterThan">
      <formula>1.75</formula>
    </cfRule>
    <cfRule type="cellIs" dxfId="14" priority="14" stopIfTrue="1" operator="between">
      <formula>1.25</formula>
      <formula>1.75</formula>
    </cfRule>
  </conditionalFormatting>
  <conditionalFormatting sqref="L11">
    <cfRule type="cellIs" dxfId="13" priority="11" stopIfTrue="1" operator="greaterThan">
      <formula>1.75</formula>
    </cfRule>
    <cfRule type="cellIs" dxfId="12" priority="12" stopIfTrue="1" operator="between">
      <formula>1.25</formula>
      <formula>1.75</formula>
    </cfRule>
  </conditionalFormatting>
  <conditionalFormatting sqref="L11">
    <cfRule type="cellIs" dxfId="11" priority="9" stopIfTrue="1" operator="greaterThan">
      <formula>1.75</formula>
    </cfRule>
    <cfRule type="cellIs" dxfId="10" priority="10" stopIfTrue="1" operator="between">
      <formula>1.25</formula>
      <formula>1.75</formula>
    </cfRule>
  </conditionalFormatting>
  <conditionalFormatting sqref="L11">
    <cfRule type="cellIs" dxfId="9" priority="7" stopIfTrue="1" operator="greaterThan">
      <formula>1.75</formula>
    </cfRule>
    <cfRule type="cellIs" dxfId="8" priority="8" stopIfTrue="1" operator="between">
      <formula>1.25</formula>
      <formula>1.75</formula>
    </cfRule>
  </conditionalFormatting>
  <conditionalFormatting sqref="S11">
    <cfRule type="cellIs" dxfId="7" priority="5" stopIfTrue="1" operator="greaterThan">
      <formula>1.75</formula>
    </cfRule>
    <cfRule type="cellIs" dxfId="6" priority="6" stopIfTrue="1" operator="between">
      <formula>1.25</formula>
      <formula>1.75</formula>
    </cfRule>
  </conditionalFormatting>
  <conditionalFormatting sqref="S11">
    <cfRule type="cellIs" dxfId="5" priority="3" stopIfTrue="1" operator="greaterThan">
      <formula>1.75</formula>
    </cfRule>
    <cfRule type="cellIs" dxfId="4" priority="4" stopIfTrue="1" operator="between">
      <formula>1.25</formula>
      <formula>1.75</formula>
    </cfRule>
  </conditionalFormatting>
  <conditionalFormatting sqref="S11">
    <cfRule type="cellIs" dxfId="3" priority="1" stopIfTrue="1" operator="greaterThan">
      <formula>1.75</formula>
    </cfRule>
    <cfRule type="cellIs" dxfId="2" priority="2" stopIfTrue="1" operator="between">
      <formula>1.25</formula>
      <formula>1.75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7"/>
  <sheetViews>
    <sheetView topLeftCell="B1" zoomScale="85" zoomScaleNormal="85" workbookViewId="0">
      <selection activeCell="P2" sqref="P2:Q2"/>
    </sheetView>
  </sheetViews>
  <sheetFormatPr defaultRowHeight="15"/>
  <cols>
    <col min="1" max="1" width="10.140625" customWidth="1"/>
    <col min="2" max="2" width="19.42578125" customWidth="1"/>
    <col min="4" max="5" width="9.140625" customWidth="1"/>
    <col min="7" max="7" width="9.140625" customWidth="1"/>
    <col min="12" max="12" width="9.140625" style="57"/>
    <col min="13" max="13" width="10.140625" bestFit="1" customWidth="1"/>
    <col min="14" max="15" width="15.42578125" bestFit="1" customWidth="1"/>
    <col min="16" max="18" width="16" bestFit="1" customWidth="1"/>
  </cols>
  <sheetData>
    <row r="1" spans="1:18">
      <c r="A1" s="81" t="s">
        <v>0</v>
      </c>
      <c r="B1" s="82"/>
      <c r="C1" s="79" t="s">
        <v>2</v>
      </c>
      <c r="D1" s="79" t="s">
        <v>2</v>
      </c>
      <c r="E1" s="75" t="s">
        <v>2</v>
      </c>
      <c r="F1" s="79" t="s">
        <v>3</v>
      </c>
      <c r="G1" s="79" t="s">
        <v>3</v>
      </c>
      <c r="H1" s="79" t="s">
        <v>2</v>
      </c>
      <c r="I1" s="79" t="s">
        <v>2</v>
      </c>
      <c r="J1" s="79" t="s">
        <v>3</v>
      </c>
      <c r="K1" s="80" t="s">
        <v>3</v>
      </c>
      <c r="L1" s="74" t="s">
        <v>3</v>
      </c>
      <c r="M1" s="63" t="s">
        <v>2</v>
      </c>
      <c r="N1" s="223" t="s">
        <v>3</v>
      </c>
      <c r="O1" s="224" t="s">
        <v>3</v>
      </c>
      <c r="P1" s="225" t="s">
        <v>2</v>
      </c>
      <c r="Q1" s="223" t="s">
        <v>2</v>
      </c>
      <c r="R1" s="224" t="s">
        <v>2</v>
      </c>
    </row>
    <row r="2" spans="1:18" ht="15.75" thickBot="1">
      <c r="A2" s="83" t="s">
        <v>17</v>
      </c>
      <c r="B2" s="84"/>
      <c r="C2" s="362" t="s">
        <v>18</v>
      </c>
      <c r="D2" s="363"/>
      <c r="E2" s="364"/>
      <c r="F2" s="368" t="s">
        <v>19</v>
      </c>
      <c r="G2" s="365"/>
      <c r="H2" s="362" t="s">
        <v>20</v>
      </c>
      <c r="I2" s="365"/>
      <c r="J2" s="362" t="s">
        <v>21</v>
      </c>
      <c r="K2" s="363"/>
      <c r="L2" s="364"/>
      <c r="M2" s="107" t="s">
        <v>37</v>
      </c>
      <c r="N2" s="226" t="s">
        <v>77</v>
      </c>
      <c r="O2" s="227" t="s">
        <v>78</v>
      </c>
      <c r="P2" s="360" t="s">
        <v>79</v>
      </c>
      <c r="Q2" s="361"/>
      <c r="R2" s="228" t="s">
        <v>80</v>
      </c>
    </row>
    <row r="3" spans="1:18" ht="15.75" thickBot="1">
      <c r="A3" s="48"/>
      <c r="B3" s="106"/>
      <c r="C3" s="108" t="s">
        <v>22</v>
      </c>
      <c r="D3" s="109" t="s">
        <v>30</v>
      </c>
      <c r="E3" s="110" t="s">
        <v>31</v>
      </c>
      <c r="F3" s="108" t="s">
        <v>22</v>
      </c>
      <c r="G3" s="109" t="s">
        <v>23</v>
      </c>
      <c r="H3" s="109" t="s">
        <v>22</v>
      </c>
      <c r="I3" s="109" t="s">
        <v>23</v>
      </c>
      <c r="J3" s="109" t="s">
        <v>22</v>
      </c>
      <c r="K3" s="111" t="s">
        <v>23</v>
      </c>
      <c r="L3" s="112" t="s">
        <v>31</v>
      </c>
      <c r="M3" s="113" t="s">
        <v>38</v>
      </c>
      <c r="N3" s="113" t="s">
        <v>38</v>
      </c>
      <c r="O3" s="113" t="s">
        <v>38</v>
      </c>
      <c r="P3" s="113" t="s">
        <v>38</v>
      </c>
      <c r="Q3" s="113" t="s">
        <v>81</v>
      </c>
      <c r="R3" s="113" t="s">
        <v>38</v>
      </c>
    </row>
    <row r="4" spans="1:18" ht="15" customHeight="1">
      <c r="A4" s="85" t="s">
        <v>5</v>
      </c>
      <c r="B4" s="49" t="s">
        <v>6</v>
      </c>
      <c r="C4" s="190">
        <v>12184.09130859375</v>
      </c>
      <c r="D4" s="170">
        <v>20667.092590332031</v>
      </c>
      <c r="E4" s="191">
        <v>61536.359619140625</v>
      </c>
      <c r="F4" s="182">
        <v>12184.09130859375</v>
      </c>
      <c r="G4" s="174">
        <v>82668.373046875</v>
      </c>
      <c r="H4" s="190">
        <v>31940.05322265625</v>
      </c>
      <c r="I4" s="191">
        <v>15030.61328125</v>
      </c>
      <c r="J4" s="202">
        <v>31940.05322265625</v>
      </c>
      <c r="K4" s="203">
        <v>37576.533203125</v>
      </c>
      <c r="L4" s="204">
        <v>39389.671875</v>
      </c>
      <c r="M4" s="198">
        <v>142777.55859375</v>
      </c>
      <c r="N4" s="191">
        <v>202908.00750732422</v>
      </c>
      <c r="O4" s="202">
        <v>210428.203125</v>
      </c>
      <c r="P4" s="203">
        <v>172851.73828125</v>
      </c>
      <c r="Q4" s="204">
        <v>76590.891723632813</v>
      </c>
      <c r="R4" s="198">
        <v>172851.73828125</v>
      </c>
    </row>
    <row r="5" spans="1:18">
      <c r="A5" s="86"/>
      <c r="B5" s="50" t="s">
        <v>7</v>
      </c>
      <c r="C5" s="192">
        <v>5736.52734375</v>
      </c>
      <c r="D5" s="169">
        <v>17206.751953125</v>
      </c>
      <c r="E5" s="193">
        <v>22487.595703125</v>
      </c>
      <c r="F5" s="183">
        <v>5190.609375</v>
      </c>
      <c r="G5" s="175">
        <v>72979.83984375</v>
      </c>
      <c r="H5" s="192">
        <v>6266.490234375</v>
      </c>
      <c r="I5" s="193">
        <v>8362.7578125</v>
      </c>
      <c r="J5" s="192">
        <v>6996.85546875</v>
      </c>
      <c r="K5" s="169">
        <v>13720.259765625</v>
      </c>
      <c r="L5" s="193">
        <v>13106.4609375</v>
      </c>
      <c r="M5" s="199">
        <v>82514.578125</v>
      </c>
      <c r="N5" s="193">
        <v>59599.189453125</v>
      </c>
      <c r="O5" s="192">
        <v>31743.87890625</v>
      </c>
      <c r="P5" s="169">
        <v>9313.828125</v>
      </c>
      <c r="Q5" s="193">
        <v>32164.494140625</v>
      </c>
      <c r="R5" s="199">
        <v>51375.76171875</v>
      </c>
    </row>
    <row r="6" spans="1:18" ht="15" customHeight="1" thickBot="1">
      <c r="A6" s="87"/>
      <c r="B6" s="51" t="s">
        <v>8</v>
      </c>
      <c r="C6" s="194">
        <v>0.47082110585496689</v>
      </c>
      <c r="D6" s="154">
        <v>0.83256761336494123</v>
      </c>
      <c r="E6" s="155">
        <v>0.36543591207384857</v>
      </c>
      <c r="F6" s="184">
        <v>0.42601530500177154</v>
      </c>
      <c r="G6" s="176">
        <v>0.88280242073191206</v>
      </c>
      <c r="H6" s="194">
        <v>0.19619535981016928</v>
      </c>
      <c r="I6" s="155">
        <v>0.55638167625083912</v>
      </c>
      <c r="J6" s="205">
        <v>0.21906211050978694</v>
      </c>
      <c r="K6" s="151">
        <v>0.36512840850586964</v>
      </c>
      <c r="L6" s="152">
        <v>0.33273851529132598</v>
      </c>
      <c r="M6" s="200">
        <v>0.57792400246723385</v>
      </c>
      <c r="N6" s="155">
        <v>0.29372517223586503</v>
      </c>
      <c r="O6" s="205">
        <v>0.15085372794536142</v>
      </c>
      <c r="P6" s="151">
        <v>5.3883335033896577E-2</v>
      </c>
      <c r="Q6" s="152">
        <v>0.41995194750683851</v>
      </c>
      <c r="R6" s="200">
        <v>0.29722444350056593</v>
      </c>
    </row>
    <row r="7" spans="1:18" ht="15" customHeight="1">
      <c r="A7" s="88" t="s">
        <v>9</v>
      </c>
      <c r="B7" s="49" t="s">
        <v>10</v>
      </c>
      <c r="C7" s="214">
        <v>681</v>
      </c>
      <c r="D7" s="215">
        <v>1076</v>
      </c>
      <c r="E7" s="216">
        <v>1992</v>
      </c>
      <c r="F7" s="217">
        <v>681</v>
      </c>
      <c r="G7" s="218">
        <v>2660</v>
      </c>
      <c r="H7" s="214">
        <v>1439</v>
      </c>
      <c r="I7" s="216">
        <v>901</v>
      </c>
      <c r="J7" s="214">
        <v>1462</v>
      </c>
      <c r="K7" s="215">
        <v>1630</v>
      </c>
      <c r="L7" s="216">
        <v>1354</v>
      </c>
      <c r="M7" s="219">
        <v>3896</v>
      </c>
      <c r="N7" s="216">
        <v>1630</v>
      </c>
      <c r="O7" s="214">
        <v>1354</v>
      </c>
      <c r="P7" s="215">
        <v>681</v>
      </c>
      <c r="Q7" s="216">
        <v>1076</v>
      </c>
      <c r="R7" s="219">
        <v>1992</v>
      </c>
    </row>
    <row r="8" spans="1:18">
      <c r="A8" s="89"/>
      <c r="B8" s="50" t="s">
        <v>11</v>
      </c>
      <c r="C8" s="209">
        <v>22474.102478027344</v>
      </c>
      <c r="D8" s="210">
        <v>43114.601440429688</v>
      </c>
      <c r="E8" s="211">
        <v>90004.482482910156</v>
      </c>
      <c r="F8" s="212">
        <v>22474.102478027344</v>
      </c>
      <c r="G8" s="213">
        <v>122050.80505371094</v>
      </c>
      <c r="H8" s="209">
        <v>48095.047912597656</v>
      </c>
      <c r="I8" s="211">
        <v>31255.912170410156</v>
      </c>
      <c r="J8" s="209">
        <v>47312.120056152344</v>
      </c>
      <c r="K8" s="210">
        <v>64315.717163085938</v>
      </c>
      <c r="L8" s="211">
        <v>66711.884338378906</v>
      </c>
      <c r="M8" s="211">
        <v>130640.08148193359</v>
      </c>
      <c r="N8" s="211">
        <v>64315.717163085938</v>
      </c>
      <c r="O8" s="209">
        <v>66711.884338378906</v>
      </c>
      <c r="P8" s="210">
        <v>22474.102478027344</v>
      </c>
      <c r="Q8" s="211">
        <v>43114.601440429688</v>
      </c>
      <c r="R8" s="211">
        <v>90004.482482910156</v>
      </c>
    </row>
    <row r="9" spans="1:18" ht="15" customHeight="1">
      <c r="A9" s="89"/>
      <c r="B9" s="50" t="s">
        <v>25</v>
      </c>
      <c r="C9" s="209">
        <v>24368.1826171875</v>
      </c>
      <c r="D9" s="210">
        <v>41334.185180664063</v>
      </c>
      <c r="E9" s="211">
        <v>56582</v>
      </c>
      <c r="F9" s="212">
        <v>24368.1826171875</v>
      </c>
      <c r="G9" s="213">
        <v>121652</v>
      </c>
      <c r="H9" s="209">
        <v>46507</v>
      </c>
      <c r="I9" s="211">
        <v>30141</v>
      </c>
      <c r="J9" s="209">
        <v>46507</v>
      </c>
      <c r="K9" s="210">
        <v>75153</v>
      </c>
      <c r="L9" s="211">
        <v>56249</v>
      </c>
      <c r="M9" s="201">
        <v>213518</v>
      </c>
      <c r="N9" s="211">
        <v>75153</v>
      </c>
      <c r="O9" s="209">
        <v>56249</v>
      </c>
      <c r="P9" s="210">
        <v>345703.4765625</v>
      </c>
      <c r="Q9" s="211">
        <v>153181.78344726563</v>
      </c>
      <c r="R9" s="201">
        <v>56582</v>
      </c>
    </row>
    <row r="10" spans="1:18">
      <c r="A10" s="89"/>
      <c r="B10" s="50" t="s">
        <v>13</v>
      </c>
      <c r="C10" s="209">
        <v>409.1530121280673</v>
      </c>
      <c r="D10" s="210">
        <v>754.77236853143472</v>
      </c>
      <c r="E10" s="211">
        <v>1456</v>
      </c>
      <c r="F10" s="212">
        <v>398.37828368788735</v>
      </c>
      <c r="G10" s="213">
        <v>2351.1861134867531</v>
      </c>
      <c r="H10" s="209">
        <v>375.17836629736144</v>
      </c>
      <c r="I10" s="211">
        <v>345.99605497182631</v>
      </c>
      <c r="J10" s="209">
        <v>443.2744791619748</v>
      </c>
      <c r="K10" s="210">
        <v>485.991868266251</v>
      </c>
      <c r="L10" s="211">
        <v>926</v>
      </c>
      <c r="M10" s="220">
        <v>3310</v>
      </c>
      <c r="N10" s="211">
        <v>3611.8683095334345</v>
      </c>
      <c r="O10" s="209">
        <v>926</v>
      </c>
      <c r="P10" s="210">
        <v>1926.0875760361866</v>
      </c>
      <c r="Q10" s="211">
        <v>1015.0406582464777</v>
      </c>
      <c r="R10" s="220">
        <v>1456</v>
      </c>
    </row>
    <row r="11" spans="1:18">
      <c r="A11" s="89"/>
      <c r="B11" s="52" t="s">
        <v>14</v>
      </c>
      <c r="C11" s="171">
        <v>13043.73046875</v>
      </c>
      <c r="D11" s="168">
        <v>31971.214904785156</v>
      </c>
      <c r="E11" s="172">
        <v>38089.988403320313</v>
      </c>
      <c r="F11" s="185">
        <v>12669.955139160156</v>
      </c>
      <c r="G11" s="177">
        <v>111338.05133056641</v>
      </c>
      <c r="H11" s="171">
        <v>11191.075439453125</v>
      </c>
      <c r="I11" s="172">
        <v>12002.825317382813</v>
      </c>
      <c r="J11" s="171">
        <v>11972.53173828125</v>
      </c>
      <c r="K11" s="168">
        <v>24630.075073242188</v>
      </c>
      <c r="L11" s="172">
        <v>17449.194030761719</v>
      </c>
      <c r="M11" s="201">
        <v>92943.746032714844</v>
      </c>
      <c r="N11" s="172">
        <v>133066.72882080078</v>
      </c>
      <c r="O11" s="171">
        <v>220411.99571990967</v>
      </c>
      <c r="P11" s="168">
        <v>65666.190490722656</v>
      </c>
      <c r="Q11" s="172">
        <v>40999.921875</v>
      </c>
      <c r="R11" s="201">
        <v>86150.501098632813</v>
      </c>
    </row>
    <row r="12" spans="1:18" ht="15.75" thickBot="1">
      <c r="A12" s="53"/>
      <c r="B12" s="51" t="s">
        <v>15</v>
      </c>
      <c r="C12" s="173">
        <v>1.0705542283280431</v>
      </c>
      <c r="D12" s="149">
        <v>1.5469623879142604</v>
      </c>
      <c r="E12" s="150">
        <v>0.6189834536697647</v>
      </c>
      <c r="F12" s="186">
        <v>1.0398769032717043</v>
      </c>
      <c r="G12" s="178">
        <v>1.3468034657877566</v>
      </c>
      <c r="H12" s="173">
        <v>0.35037748251198547</v>
      </c>
      <c r="I12" s="150">
        <v>0.79855858791575629</v>
      </c>
      <c r="J12" s="206">
        <v>0.37484382555094475</v>
      </c>
      <c r="K12" s="153">
        <v>0.65546427447420463</v>
      </c>
      <c r="L12" s="207">
        <v>0.44298906794997817</v>
      </c>
      <c r="M12" s="162">
        <v>0.65096887037528739</v>
      </c>
      <c r="N12" s="150">
        <v>0.65579831203062589</v>
      </c>
      <c r="O12" s="206">
        <v>1.0474451259224935</v>
      </c>
      <c r="P12" s="153">
        <v>0.37989893039939282</v>
      </c>
      <c r="Q12" s="207">
        <v>0.53531067405432886</v>
      </c>
      <c r="R12" s="162">
        <v>0.49840691193082404</v>
      </c>
    </row>
    <row r="13" spans="1:18">
      <c r="A13" s="348" t="s">
        <v>26</v>
      </c>
      <c r="B13" s="349"/>
      <c r="C13" s="195">
        <v>54</v>
      </c>
      <c r="D13" s="165">
        <v>-51</v>
      </c>
      <c r="E13" s="167">
        <v>-963</v>
      </c>
      <c r="F13" s="187">
        <v>54</v>
      </c>
      <c r="G13" s="179">
        <v>-11</v>
      </c>
      <c r="H13" s="195">
        <v>-45</v>
      </c>
      <c r="I13" s="167">
        <v>-32</v>
      </c>
      <c r="J13" s="208">
        <v>-23</v>
      </c>
      <c r="K13" s="156">
        <v>312</v>
      </c>
      <c r="L13" s="157">
        <v>-301</v>
      </c>
      <c r="M13" s="166">
        <v>2389</v>
      </c>
      <c r="N13" s="167">
        <v>312</v>
      </c>
      <c r="O13" s="208">
        <v>-301</v>
      </c>
      <c r="P13" s="156">
        <v>9317</v>
      </c>
      <c r="Q13" s="157">
        <v>3172</v>
      </c>
      <c r="R13" s="166">
        <v>-963</v>
      </c>
    </row>
    <row r="14" spans="1:18">
      <c r="A14" s="369" t="s">
        <v>27</v>
      </c>
      <c r="B14" s="370"/>
      <c r="C14" s="196">
        <v>11324.4521484375</v>
      </c>
      <c r="D14" s="158">
        <v>9362.9702758789062</v>
      </c>
      <c r="E14" s="159">
        <v>18492.011596679688</v>
      </c>
      <c r="F14" s="188">
        <v>11698.227478027344</v>
      </c>
      <c r="G14" s="180">
        <v>10313.948669433594</v>
      </c>
      <c r="H14" s="196">
        <v>35315.924560546875</v>
      </c>
      <c r="I14" s="159">
        <v>18138.174682617188</v>
      </c>
      <c r="J14" s="196">
        <v>34534.46826171875</v>
      </c>
      <c r="K14" s="158">
        <v>50522.924926757813</v>
      </c>
      <c r="L14" s="159">
        <v>38799.805969238281</v>
      </c>
      <c r="M14" s="163">
        <v>120574.25396728516</v>
      </c>
      <c r="N14" s="159">
        <v>-57913.728820800781</v>
      </c>
      <c r="O14" s="196">
        <v>-164162.99571990967</v>
      </c>
      <c r="P14" s="158">
        <v>280037.28607177734</v>
      </c>
      <c r="Q14" s="159">
        <v>112181.86157226562</v>
      </c>
      <c r="R14" s="163">
        <v>-29568.501098632813</v>
      </c>
    </row>
    <row r="15" spans="1:18">
      <c r="A15" s="369" t="s">
        <v>28</v>
      </c>
      <c r="B15" s="370"/>
      <c r="C15" s="196">
        <v>11324.4521484375</v>
      </c>
      <c r="D15" s="158">
        <v>9362.9702758789044</v>
      </c>
      <c r="E15" s="159">
        <v>84982.730834960938</v>
      </c>
      <c r="F15" s="188">
        <v>11698.227478027344</v>
      </c>
      <c r="G15" s="180">
        <v>53998.694763183586</v>
      </c>
      <c r="H15" s="196">
        <v>52689.031005859375</v>
      </c>
      <c r="I15" s="159">
        <v>18058.401245117188</v>
      </c>
      <c r="J15" s="196">
        <v>51907.57470703125</v>
      </c>
      <c r="K15" s="158">
        <v>50522.991333007812</v>
      </c>
      <c r="L15" s="159">
        <v>61330.149719238281</v>
      </c>
      <c r="M15" s="163">
        <v>192611.37115478516</v>
      </c>
      <c r="N15" s="159">
        <v>272749.28619384766</v>
      </c>
      <c r="O15" s="196">
        <v>200444.41053009033</v>
      </c>
      <c r="P15" s="158">
        <v>280037.28607177734</v>
      </c>
      <c r="Q15" s="159">
        <v>112181.86157226564</v>
      </c>
      <c r="R15" s="163">
        <v>259552.97546386719</v>
      </c>
    </row>
    <row r="16" spans="1:18" ht="15.75" thickBot="1">
      <c r="A16" s="366" t="s">
        <v>29</v>
      </c>
      <c r="B16" s="367"/>
      <c r="C16" s="197">
        <v>11324.4521484375</v>
      </c>
      <c r="D16" s="160">
        <v>9362.9702758789044</v>
      </c>
      <c r="E16" s="161">
        <v>18492.011596679688</v>
      </c>
      <c r="F16" s="189">
        <v>11698.227478027344</v>
      </c>
      <c r="G16" s="181">
        <v>10313.948669433594</v>
      </c>
      <c r="H16" s="197">
        <v>35315.924560546875</v>
      </c>
      <c r="I16" s="161">
        <v>18058.401245117188</v>
      </c>
      <c r="J16" s="197">
        <v>34534.46826171875</v>
      </c>
      <c r="K16" s="160">
        <v>50522.924926757813</v>
      </c>
      <c r="L16" s="161">
        <v>38799.805969238281</v>
      </c>
      <c r="M16" s="164">
        <v>120574.25396728516</v>
      </c>
      <c r="N16" s="161">
        <v>-57913.728820800781</v>
      </c>
      <c r="O16" s="197">
        <v>-164162.99571990967</v>
      </c>
      <c r="P16" s="160">
        <v>280037.28607177734</v>
      </c>
      <c r="Q16" s="161">
        <v>112181.86157226564</v>
      </c>
      <c r="R16" s="164">
        <v>-29568.501098632813</v>
      </c>
    </row>
    <row r="17" spans="1:13">
      <c r="A17" s="33"/>
      <c r="B17" s="33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3"/>
    </row>
  </sheetData>
  <mergeCells count="9">
    <mergeCell ref="P2:Q2"/>
    <mergeCell ref="J2:L2"/>
    <mergeCell ref="C2:E2"/>
    <mergeCell ref="H2:I2"/>
    <mergeCell ref="A16:B16"/>
    <mergeCell ref="F2:G2"/>
    <mergeCell ref="A13:B13"/>
    <mergeCell ref="A14:B14"/>
    <mergeCell ref="A15:B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3"/>
  <sheetViews>
    <sheetView workbookViewId="0">
      <selection activeCell="L23" sqref="L23"/>
    </sheetView>
  </sheetViews>
  <sheetFormatPr defaultRowHeight="15"/>
  <cols>
    <col min="1" max="1" width="12.140625" bestFit="1" customWidth="1"/>
    <col min="2" max="2" width="11.140625" customWidth="1"/>
    <col min="3" max="3" width="9.5703125" bestFit="1" customWidth="1"/>
    <col min="4" max="4" width="10.85546875" customWidth="1"/>
    <col min="5" max="5" width="12.28515625" bestFit="1" customWidth="1"/>
    <col min="6" max="6" width="11.85546875" bestFit="1" customWidth="1"/>
    <col min="7" max="7" width="11.85546875" customWidth="1"/>
    <col min="10" max="10" width="9.85546875" bestFit="1" customWidth="1"/>
    <col min="12" max="12" width="9.85546875" bestFit="1" customWidth="1"/>
    <col min="13" max="13" width="9.7109375" bestFit="1" customWidth="1"/>
  </cols>
  <sheetData>
    <row r="1" spans="1:15">
      <c r="A1" s="372" t="s">
        <v>9</v>
      </c>
      <c r="B1" s="373"/>
      <c r="C1" s="373"/>
      <c r="D1" s="373"/>
      <c r="E1" s="373"/>
      <c r="F1" s="374"/>
      <c r="G1" s="46"/>
      <c r="H1" s="60"/>
      <c r="K1" s="58"/>
    </row>
    <row r="2" spans="1:15" ht="27.75" customHeight="1" thickBot="1">
      <c r="A2" s="5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2" t="s">
        <v>15</v>
      </c>
      <c r="G2" s="44" t="s">
        <v>32</v>
      </c>
      <c r="H2" s="60"/>
      <c r="K2" s="58"/>
    </row>
    <row r="3" spans="1:15" ht="15.75" thickBot="1">
      <c r="A3" s="56">
        <v>5006</v>
      </c>
      <c r="B3" s="9">
        <v>169152.74</v>
      </c>
      <c r="C3" s="9">
        <v>164000</v>
      </c>
      <c r="D3" s="9">
        <v>3532</v>
      </c>
      <c r="E3" s="9">
        <v>119346.28</v>
      </c>
      <c r="F3" s="10">
        <v>1.0277300011742683</v>
      </c>
      <c r="G3" s="45">
        <v>44653.72</v>
      </c>
      <c r="I3" s="57"/>
      <c r="J3" s="57"/>
      <c r="K3" s="58"/>
    </row>
    <row r="4" spans="1:15">
      <c r="A4" s="3">
        <v>3200</v>
      </c>
      <c r="B4" s="12">
        <v>108128</v>
      </c>
      <c r="C4" s="12">
        <v>109880</v>
      </c>
      <c r="D4" s="12">
        <v>2291</v>
      </c>
      <c r="E4" s="12">
        <v>77412.89</v>
      </c>
      <c r="F4" s="13">
        <v>0.96546148680671329</v>
      </c>
      <c r="G4" s="55">
        <v>31791.309999999998</v>
      </c>
      <c r="I4" s="31"/>
      <c r="J4" s="319" t="s">
        <v>1</v>
      </c>
      <c r="K4" s="322"/>
      <c r="L4" s="319" t="s">
        <v>2</v>
      </c>
      <c r="M4" s="322"/>
      <c r="N4" s="319" t="s">
        <v>3</v>
      </c>
      <c r="O4" s="322"/>
    </row>
    <row r="5" spans="1:15" ht="15.75" thickBot="1">
      <c r="A5" s="3">
        <v>3200</v>
      </c>
      <c r="B5" s="12">
        <v>108128</v>
      </c>
      <c r="C5" s="12">
        <v>109880</v>
      </c>
      <c r="D5" s="12">
        <v>2311</v>
      </c>
      <c r="E5" s="12">
        <v>78088.69</v>
      </c>
      <c r="F5" s="13">
        <v>0.97388978437813811</v>
      </c>
      <c r="G5" s="55">
        <v>31791.309999999998</v>
      </c>
      <c r="I5" s="31"/>
      <c r="J5" s="4" t="s">
        <v>22</v>
      </c>
      <c r="K5" s="21" t="s">
        <v>23</v>
      </c>
      <c r="L5" s="4" t="s">
        <v>22</v>
      </c>
      <c r="M5" s="21" t="s">
        <v>23</v>
      </c>
      <c r="N5" s="4" t="s">
        <v>22</v>
      </c>
      <c r="O5" s="21" t="s">
        <v>23</v>
      </c>
    </row>
    <row r="6" spans="1:15">
      <c r="A6" s="3">
        <v>8850</v>
      </c>
      <c r="B6" s="12">
        <v>299041.5</v>
      </c>
      <c r="C6" s="12">
        <v>328000</v>
      </c>
      <c r="D6" s="12">
        <v>5187</v>
      </c>
      <c r="E6" s="12">
        <v>175268.72999999998</v>
      </c>
      <c r="F6" s="14">
        <v>1.1319724340510187</v>
      </c>
      <c r="G6" s="55">
        <v>133576.07</v>
      </c>
      <c r="I6" s="22" t="s">
        <v>6</v>
      </c>
      <c r="J6" s="25">
        <v>79968.7</v>
      </c>
      <c r="K6" s="26">
        <v>115816.8</v>
      </c>
      <c r="L6" s="25">
        <v>118456.36455078125</v>
      </c>
      <c r="M6" s="26">
        <v>239333.54587158203</v>
      </c>
      <c r="N6" s="25">
        <v>38487.66455078125</v>
      </c>
      <c r="O6" s="26">
        <v>317443.75962890626</v>
      </c>
    </row>
    <row r="7" spans="1:15">
      <c r="A7" s="3">
        <v>7503</v>
      </c>
      <c r="B7" s="12">
        <v>253526.37</v>
      </c>
      <c r="C7" s="12">
        <v>328000</v>
      </c>
      <c r="D7" s="12">
        <v>5142</v>
      </c>
      <c r="E7" s="12">
        <v>173748.18</v>
      </c>
      <c r="F7" s="14">
        <v>1.0135569546510568</v>
      </c>
      <c r="G7" s="55">
        <v>154251.82</v>
      </c>
      <c r="I7" s="23" t="s">
        <v>7</v>
      </c>
      <c r="J7" s="27">
        <v>49393.8</v>
      </c>
      <c r="K7" s="28">
        <v>38089.199999999997</v>
      </c>
      <c r="L7" s="27">
        <v>62618.932812500003</v>
      </c>
      <c r="M7" s="28">
        <v>72838.035703125002</v>
      </c>
      <c r="N7" s="27">
        <v>12710.578125</v>
      </c>
      <c r="O7" s="28">
        <v>111318.8496875</v>
      </c>
    </row>
    <row r="8" spans="1:15" ht="15.75" thickBot="1">
      <c r="A8" s="19">
        <v>379</v>
      </c>
      <c r="B8" s="12">
        <v>11991.04</v>
      </c>
      <c r="C8" s="12">
        <v>24368.1826171875</v>
      </c>
      <c r="D8" s="12">
        <v>196.33843161923011</v>
      </c>
      <c r="E8" s="12">
        <v>5654.5101928710937</v>
      </c>
      <c r="F8" s="13">
        <v>0.46408961076012484</v>
      </c>
      <c r="G8" s="55">
        <v>6693.775634765625</v>
      </c>
      <c r="I8" s="24" t="s">
        <v>8</v>
      </c>
      <c r="J8" s="29">
        <v>0.61766416110303157</v>
      </c>
      <c r="K8" s="30">
        <v>0.3288745674202706</v>
      </c>
      <c r="L8" s="29">
        <v>0.52862446901834292</v>
      </c>
      <c r="M8" s="30">
        <v>0.30433692626694014</v>
      </c>
      <c r="N8" s="29">
        <v>0.33025069910982663</v>
      </c>
      <c r="O8" s="30">
        <v>0.35067266660914181</v>
      </c>
    </row>
    <row r="9" spans="1:15">
      <c r="A9" s="19">
        <v>2637</v>
      </c>
      <c r="B9" s="12">
        <v>78766.080000000002</v>
      </c>
      <c r="C9" s="12">
        <v>97916.185180664063</v>
      </c>
      <c r="D9" s="12">
        <v>2175.7269975756253</v>
      </c>
      <c r="E9" s="12">
        <v>96062.289545898442</v>
      </c>
      <c r="F9" s="13">
        <v>1.3746645308079499</v>
      </c>
      <c r="G9" s="55">
        <v>1853.8956347656203</v>
      </c>
      <c r="I9" s="323" t="s">
        <v>33</v>
      </c>
      <c r="J9" s="324"/>
      <c r="K9" s="324"/>
      <c r="L9" s="324"/>
      <c r="M9" s="324"/>
      <c r="N9" s="324"/>
      <c r="O9" s="325"/>
    </row>
    <row r="10" spans="1:15">
      <c r="A10" s="19">
        <v>380</v>
      </c>
      <c r="B10" s="12">
        <v>12032</v>
      </c>
      <c r="C10" s="12">
        <v>24368.1826171875</v>
      </c>
      <c r="D10" s="12">
        <v>197.15769499720739</v>
      </c>
      <c r="E10" s="12">
        <v>5689.200439453125</v>
      </c>
      <c r="F10" s="13">
        <v>0.46693678628626062</v>
      </c>
      <c r="G10" s="55">
        <v>6693.775634765625</v>
      </c>
      <c r="I10" s="36" t="s">
        <v>34</v>
      </c>
      <c r="J10" s="35">
        <v>31791.309999999998</v>
      </c>
      <c r="K10" s="35">
        <v>44653.72</v>
      </c>
      <c r="L10" s="35">
        <v>46016.861635742185</v>
      </c>
      <c r="M10" s="35">
        <v>145474.9199194336</v>
      </c>
      <c r="N10" s="35">
        <v>14225.551635742187</v>
      </c>
      <c r="O10" s="39">
        <v>217032.74572265625</v>
      </c>
    </row>
    <row r="11" spans="1:15">
      <c r="A11" s="19">
        <v>2018</v>
      </c>
      <c r="B11" s="12">
        <v>79923.199999999997</v>
      </c>
      <c r="C11" s="12">
        <v>121652</v>
      </c>
      <c r="D11" s="12">
        <v>2360.0147756102037</v>
      </c>
      <c r="E11" s="12">
        <v>91787.692565917969</v>
      </c>
      <c r="F11" s="13">
        <v>1.3203711126396327</v>
      </c>
      <c r="G11" s="55">
        <v>29864.307434082031</v>
      </c>
      <c r="I11" s="36" t="s">
        <v>35</v>
      </c>
      <c r="J11" s="54">
        <v>40781.195955300631</v>
      </c>
      <c r="K11" s="54">
        <v>40748.085381732722</v>
      </c>
      <c r="L11" s="54">
        <v>40775.416794266224</v>
      </c>
      <c r="M11" s="54">
        <v>40802.458045829837</v>
      </c>
      <c r="N11" s="54">
        <v>40763.920837244543</v>
      </c>
      <c r="O11" s="54">
        <v>40852.074140693847</v>
      </c>
    </row>
    <row r="12" spans="1:15" ht="15.75" thickBot="1">
      <c r="A12" s="19">
        <v>688</v>
      </c>
      <c r="B12" s="12">
        <v>23866.719999999998</v>
      </c>
      <c r="C12" s="12">
        <v>46507</v>
      </c>
      <c r="D12" s="12">
        <v>1121.7685236508855</v>
      </c>
      <c r="E12" s="12">
        <v>38914.150085449219</v>
      </c>
      <c r="F12" s="13">
        <v>1.4794244769389735</v>
      </c>
      <c r="G12" s="55">
        <v>7531.7760009765625</v>
      </c>
      <c r="I12" s="326" t="s">
        <v>36</v>
      </c>
      <c r="J12" s="327"/>
      <c r="K12" s="327"/>
      <c r="L12" s="327"/>
      <c r="M12" s="327"/>
      <c r="N12" s="327"/>
      <c r="O12" s="371"/>
    </row>
    <row r="13" spans="1:15" ht="15.75" thickBot="1">
      <c r="A13" s="19">
        <v>926</v>
      </c>
      <c r="B13" s="12">
        <v>32122.94</v>
      </c>
      <c r="C13" s="12">
        <v>30141</v>
      </c>
      <c r="D13" s="12">
        <v>577.00410140766883</v>
      </c>
      <c r="E13" s="12">
        <v>20016.272277832031</v>
      </c>
      <c r="F13" s="13">
        <v>1.3317003041254087</v>
      </c>
      <c r="G13" s="55">
        <v>10044.954284667967</v>
      </c>
      <c r="I13" s="40" t="s">
        <v>34</v>
      </c>
      <c r="J13" s="41">
        <v>5662.72</v>
      </c>
      <c r="K13" s="41">
        <v>10076.16</v>
      </c>
      <c r="L13" s="41">
        <v>8509.44</v>
      </c>
      <c r="M13" s="41">
        <v>22824.959999999999</v>
      </c>
      <c r="N13" s="41">
        <v>2846.72</v>
      </c>
      <c r="O13" s="38">
        <v>26644.48</v>
      </c>
    </row>
    <row r="14" spans="1:15">
      <c r="A14" s="19">
        <v>738</v>
      </c>
      <c r="B14" s="12">
        <v>23910.400000000001</v>
      </c>
      <c r="C14" s="12">
        <v>46507</v>
      </c>
      <c r="D14" s="12">
        <v>1172.2699336703211</v>
      </c>
      <c r="E14" s="12">
        <v>38975.223999023438</v>
      </c>
      <c r="F14" s="13">
        <v>1.4817463635135422</v>
      </c>
      <c r="G14" s="55">
        <v>7531.7760009765625</v>
      </c>
      <c r="K14" s="58"/>
    </row>
    <row r="15" spans="1:15" ht="15.75" thickBot="1">
      <c r="A15" s="20">
        <v>2814</v>
      </c>
      <c r="B15" s="15">
        <v>76902.399999999994</v>
      </c>
      <c r="C15" s="15">
        <v>131402</v>
      </c>
      <c r="D15" s="15">
        <v>2615.0761519580797</v>
      </c>
      <c r="E15" s="15">
        <v>98485.381711425784</v>
      </c>
      <c r="F15" s="16">
        <v>1.2797028051531179</v>
      </c>
      <c r="G15" s="47">
        <v>32916.618288574216</v>
      </c>
      <c r="J15" s="59"/>
      <c r="K15" s="59"/>
      <c r="L15" s="59"/>
      <c r="M15" s="59"/>
      <c r="N15" s="59"/>
      <c r="O15" s="59"/>
    </row>
    <row r="16" spans="1:15">
      <c r="F16" s="58"/>
      <c r="J16" s="59"/>
      <c r="K16" s="59"/>
      <c r="L16" s="59"/>
      <c r="M16" s="59"/>
      <c r="N16" s="59"/>
      <c r="O16" s="59"/>
    </row>
    <row r="19" spans="1:7">
      <c r="A19" s="60"/>
      <c r="B19" s="60"/>
      <c r="C19" s="60"/>
      <c r="D19" s="60"/>
      <c r="E19" s="60"/>
      <c r="F19" s="60"/>
      <c r="G19" s="61"/>
    </row>
    <row r="20" spans="1:7" ht="30.75" customHeight="1">
      <c r="A20" s="60"/>
      <c r="B20" s="60"/>
      <c r="C20" s="60"/>
      <c r="D20" s="60"/>
      <c r="E20" s="60"/>
      <c r="F20" s="62"/>
      <c r="G20" s="61"/>
    </row>
    <row r="21" spans="1:7">
      <c r="B21" s="57"/>
      <c r="C21" s="57"/>
      <c r="D21" s="57"/>
      <c r="E21" s="57"/>
      <c r="F21" s="58"/>
      <c r="G21" s="57"/>
    </row>
    <row r="22" spans="1:7">
      <c r="B22" s="57"/>
      <c r="C22" s="57"/>
      <c r="D22" s="57"/>
      <c r="E22" s="57"/>
      <c r="F22" s="58"/>
      <c r="G22" s="57"/>
    </row>
    <row r="23" spans="1:7">
      <c r="B23" s="57"/>
      <c r="C23" s="57"/>
      <c r="D23" s="57"/>
      <c r="E23" s="57"/>
      <c r="F23" s="58"/>
      <c r="G23" s="57"/>
    </row>
    <row r="24" spans="1:7">
      <c r="B24" s="57"/>
      <c r="C24" s="57"/>
      <c r="D24" s="57"/>
      <c r="E24" s="57"/>
      <c r="F24" s="58"/>
      <c r="G24" s="57"/>
    </row>
    <row r="25" spans="1:7">
      <c r="B25" s="57"/>
      <c r="C25" s="57"/>
      <c r="D25" s="57"/>
      <c r="E25" s="57"/>
      <c r="F25" s="58"/>
      <c r="G25" s="57"/>
    </row>
    <row r="26" spans="1:7">
      <c r="A26" s="57"/>
      <c r="B26" s="57"/>
      <c r="C26" s="57"/>
      <c r="D26" s="57"/>
      <c r="E26" s="57"/>
      <c r="F26" s="58"/>
      <c r="G26" s="57"/>
    </row>
    <row r="27" spans="1:7">
      <c r="A27" s="57"/>
      <c r="B27" s="57"/>
      <c r="C27" s="57"/>
      <c r="D27" s="57"/>
      <c r="E27" s="57"/>
      <c r="F27" s="58"/>
      <c r="G27" s="57"/>
    </row>
    <row r="28" spans="1:7">
      <c r="A28" s="57"/>
      <c r="B28" s="57"/>
      <c r="C28" s="57"/>
      <c r="D28" s="57"/>
      <c r="E28" s="57"/>
      <c r="F28" s="58"/>
      <c r="G28" s="57"/>
    </row>
    <row r="29" spans="1:7">
      <c r="A29" s="57"/>
      <c r="B29" s="57"/>
      <c r="C29" s="57"/>
      <c r="D29" s="57"/>
      <c r="E29" s="57"/>
      <c r="F29" s="58"/>
      <c r="G29" s="57"/>
    </row>
    <row r="30" spans="1:7">
      <c r="A30" s="57"/>
      <c r="B30" s="57"/>
      <c r="C30" s="57"/>
      <c r="D30" s="57"/>
      <c r="E30" s="57"/>
      <c r="F30" s="58"/>
      <c r="G30" s="57"/>
    </row>
    <row r="31" spans="1:7">
      <c r="A31" s="57"/>
      <c r="B31" s="57"/>
      <c r="C31" s="57"/>
      <c r="D31" s="57"/>
      <c r="E31" s="57"/>
      <c r="F31" s="58"/>
      <c r="G31" s="57"/>
    </row>
    <row r="32" spans="1:7">
      <c r="A32" s="57"/>
      <c r="B32" s="57"/>
      <c r="C32" s="57"/>
      <c r="D32" s="57"/>
      <c r="E32" s="57"/>
      <c r="F32" s="58"/>
      <c r="G32" s="57"/>
    </row>
    <row r="33" spans="1:7">
      <c r="A33" s="57"/>
      <c r="B33" s="57"/>
      <c r="C33" s="57"/>
      <c r="D33" s="57"/>
      <c r="E33" s="57"/>
      <c r="F33" s="58"/>
      <c r="G33" s="57"/>
    </row>
  </sheetData>
  <mergeCells count="6">
    <mergeCell ref="I12:O12"/>
    <mergeCell ref="A1:F1"/>
    <mergeCell ref="J4:K4"/>
    <mergeCell ref="L4:M4"/>
    <mergeCell ref="N4:O4"/>
    <mergeCell ref="I9:O9"/>
  </mergeCells>
  <conditionalFormatting sqref="F3:F15">
    <cfRule type="cellIs" dxfId="1" priority="1" operator="between">
      <formula>2</formula>
      <formula>1.75</formula>
    </cfRule>
    <cfRule type="cellIs" dxfId="0" priority="2" operator="greaterThan">
      <formula>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C8" sqref="C8"/>
    </sheetView>
  </sheetViews>
  <sheetFormatPr defaultRowHeight="15"/>
  <cols>
    <col min="1" max="1" width="10.5703125" customWidth="1"/>
    <col min="2" max="2" width="18.85546875" customWidth="1"/>
    <col min="3" max="3" width="11.7109375" customWidth="1"/>
    <col min="4" max="4" width="29.85546875" customWidth="1"/>
  </cols>
  <sheetData>
    <row r="1" spans="1:4">
      <c r="A1" s="377"/>
      <c r="B1" s="375" t="s">
        <v>48</v>
      </c>
      <c r="C1" s="376"/>
      <c r="D1" s="93"/>
    </row>
    <row r="2" spans="1:4" ht="15.75" thickBot="1">
      <c r="A2" s="378"/>
      <c r="B2" s="95" t="s">
        <v>49</v>
      </c>
      <c r="C2" s="96" t="s">
        <v>50</v>
      </c>
      <c r="D2" s="94" t="s">
        <v>51</v>
      </c>
    </row>
    <row r="3" spans="1:4">
      <c r="A3" s="90" t="s">
        <v>42</v>
      </c>
      <c r="B3" s="97">
        <f>'Thin summary'!T74</f>
        <v>1434</v>
      </c>
      <c r="C3" s="98">
        <f>'Thin summary'!T71</f>
        <v>23253</v>
      </c>
      <c r="D3" s="99">
        <f>(12*B3)-C3</f>
        <v>-6045</v>
      </c>
    </row>
    <row r="4" spans="1:4">
      <c r="A4" s="91" t="s">
        <v>43</v>
      </c>
      <c r="B4" s="100">
        <f>'Thin summary'!U74</f>
        <v>4352</v>
      </c>
      <c r="C4" s="101">
        <f>'Thin summary'!U71</f>
        <v>137847</v>
      </c>
      <c r="D4" s="102">
        <f t="shared" ref="D4:D8" si="0">(12*B4)-C4</f>
        <v>-85623</v>
      </c>
    </row>
    <row r="5" spans="1:4">
      <c r="A5" s="91" t="s">
        <v>44</v>
      </c>
      <c r="B5" s="100">
        <f>'Thin summary'!V74</f>
        <v>11930</v>
      </c>
      <c r="C5" s="101">
        <f>'Thin summary'!V71</f>
        <v>139194</v>
      </c>
      <c r="D5" s="102">
        <f t="shared" si="0"/>
        <v>3966</v>
      </c>
    </row>
    <row r="6" spans="1:4">
      <c r="A6" s="91" t="s">
        <v>45</v>
      </c>
      <c r="B6" s="100">
        <f>'Thin summary'!W74</f>
        <v>26645</v>
      </c>
      <c r="C6" s="101">
        <f ca="1">'Thin summary'!W71</f>
        <v>18214.341000000015</v>
      </c>
      <c r="D6" s="102">
        <f t="shared" ca="1" si="0"/>
        <v>301525.65899999999</v>
      </c>
    </row>
    <row r="7" spans="1:4">
      <c r="A7" s="91" t="s">
        <v>46</v>
      </c>
      <c r="B7" s="100">
        <f>'Thin summary'!X74</f>
        <v>13476</v>
      </c>
      <c r="C7" s="101">
        <f>'Thin summary'!X71</f>
        <v>115941</v>
      </c>
      <c r="D7" s="102">
        <f t="shared" si="0"/>
        <v>45771</v>
      </c>
    </row>
    <row r="8" spans="1:4" ht="15.75" thickBot="1">
      <c r="A8" s="92" t="s">
        <v>47</v>
      </c>
      <c r="B8" s="103">
        <f>'Thin summary'!Y74</f>
        <v>23696</v>
      </c>
      <c r="C8" s="104">
        <f ca="1">'Thin summary'!Y71</f>
        <v>566682.58700000006</v>
      </c>
      <c r="D8" s="105">
        <f t="shared" ca="1" si="0"/>
        <v>-282330.58700000006</v>
      </c>
    </row>
  </sheetData>
  <mergeCells count="2">
    <mergeCell ref="B1:C1"/>
    <mergeCell ref="A1:A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F9CD61-8D86-438C-B575-67562FF617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1DDCE-6C37-4661-9320-50D5853F66BD}">
  <ds:schemaRefs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F915764-0FEA-4304-905E-A9F931C96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Thin summary</vt:lpstr>
      <vt:lpstr>VMAX table</vt:lpstr>
      <vt:lpstr>HDS table</vt:lpstr>
      <vt:lpstr>Sheet1</vt:lpstr>
      <vt:lpstr>array usage summary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sm28519</dc:creator>
  <cp:lastModifiedBy>Ashok Kumar Reddy</cp:lastModifiedBy>
  <dcterms:created xsi:type="dcterms:W3CDTF">2010-08-04T09:50:01Z</dcterms:created>
  <dcterms:modified xsi:type="dcterms:W3CDTF">2013-06-20T08:59:57Z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